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Employment\IACP\"/>
    </mc:Choice>
  </mc:AlternateContent>
  <xr:revisionPtr revIDLastSave="0" documentId="8_{CB73954E-A3FD-4764-826E-5BF2BE7D5B79}" xr6:coauthVersionLast="41" xr6:coauthVersionMax="41" xr10:uidLastSave="{00000000-0000-0000-0000-000000000000}"/>
  <bookViews>
    <workbookView xWindow="20535" yWindow="90" windowWidth="23355" windowHeight="12630" xr2:uid="{25572ABA-1AFE-4F7F-B4B5-C7E69704A898}"/>
  </bookViews>
  <sheets>
    <sheet name="Record Scores" sheetId="1" r:id="rId1"/>
    <sheet name="Results" sheetId="2" r:id="rId2"/>
    <sheet name="Logic" sheetId="3" r:id="rId3"/>
  </sheets>
  <definedNames>
    <definedName name="_xlnm._FilterDatabase" localSheetId="0" hidden="1">'Record Scores'!$A$1:$D$179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3" l="1"/>
  <c r="B92" i="3" s="1"/>
  <c r="N93" i="3" s="1"/>
  <c r="G90" i="3"/>
  <c r="G91" i="3" s="1"/>
  <c r="F90" i="3"/>
  <c r="F91" i="3" s="1"/>
  <c r="E90" i="3"/>
  <c r="E91" i="3" s="1"/>
  <c r="D90" i="3"/>
  <c r="D91" i="3" s="1"/>
  <c r="C90" i="3"/>
  <c r="C91" i="3" s="1"/>
  <c r="K87" i="3"/>
  <c r="K88" i="3" s="1"/>
  <c r="J87" i="3"/>
  <c r="J88" i="3" s="1"/>
  <c r="J89" i="3" s="1"/>
  <c r="I87" i="3"/>
  <c r="I88" i="3" s="1"/>
  <c r="I89" i="3" s="1"/>
  <c r="H87" i="3"/>
  <c r="H88" i="3" s="1"/>
  <c r="G87" i="3"/>
  <c r="G88" i="3" s="1"/>
  <c r="F87" i="3"/>
  <c r="F88" i="3" s="1"/>
  <c r="E87" i="3"/>
  <c r="E88" i="3" s="1"/>
  <c r="D87" i="3"/>
  <c r="D88" i="3" s="1"/>
  <c r="C87" i="3"/>
  <c r="C88" i="3" s="1"/>
  <c r="E86" i="3"/>
  <c r="D86" i="3"/>
  <c r="C86" i="3"/>
  <c r="E84" i="3"/>
  <c r="E85" i="3" s="1"/>
  <c r="D84" i="3"/>
  <c r="D85" i="3" s="1"/>
  <c r="C84" i="3"/>
  <c r="C85" i="3" s="1"/>
  <c r="C82" i="3"/>
  <c r="G82" i="3" s="1"/>
  <c r="O83" i="3" s="1"/>
  <c r="D79" i="3"/>
  <c r="D80" i="3" s="1"/>
  <c r="C79" i="3"/>
  <c r="C80" i="3" s="1"/>
  <c r="J77" i="3"/>
  <c r="J78" i="3" s="1"/>
  <c r="I77" i="3"/>
  <c r="I78" i="3" s="1"/>
  <c r="H77" i="3"/>
  <c r="H78" i="3" s="1"/>
  <c r="G77" i="3"/>
  <c r="G78" i="3" s="1"/>
  <c r="F77" i="3"/>
  <c r="F78" i="3" s="1"/>
  <c r="E77" i="3"/>
  <c r="E78" i="3" s="1"/>
  <c r="D77" i="3"/>
  <c r="D78" i="3" s="1"/>
  <c r="C77" i="3"/>
  <c r="C78" i="3" s="1"/>
  <c r="F75" i="3"/>
  <c r="F76" i="3" s="1"/>
  <c r="E75" i="3"/>
  <c r="E76" i="3" s="1"/>
  <c r="D75" i="3"/>
  <c r="D76" i="3" s="1"/>
  <c r="C75" i="3"/>
  <c r="C76" i="3" s="1"/>
  <c r="H73" i="3"/>
  <c r="H74" i="3" s="1"/>
  <c r="G73" i="3"/>
  <c r="G74" i="3" s="1"/>
  <c r="F73" i="3"/>
  <c r="F74" i="3" s="1"/>
  <c r="E73" i="3"/>
  <c r="E74" i="3" s="1"/>
  <c r="D73" i="3"/>
  <c r="D74" i="3" s="1"/>
  <c r="C73" i="3"/>
  <c r="C74" i="3" s="1"/>
  <c r="C71" i="3"/>
  <c r="B71" i="3" s="1"/>
  <c r="N72" i="3" s="1"/>
  <c r="U67" i="3"/>
  <c r="U68" i="3" s="1"/>
  <c r="T67" i="3"/>
  <c r="T68" i="3" s="1"/>
  <c r="S67" i="3"/>
  <c r="S68" i="3" s="1"/>
  <c r="R67" i="3"/>
  <c r="R68" i="3" s="1"/>
  <c r="Q67" i="3"/>
  <c r="Q68" i="3" s="1"/>
  <c r="P67" i="3"/>
  <c r="P68" i="3" s="1"/>
  <c r="O67" i="3"/>
  <c r="O68" i="3" s="1"/>
  <c r="N67" i="3"/>
  <c r="N68" i="3" s="1"/>
  <c r="M67" i="3"/>
  <c r="M68" i="3" s="1"/>
  <c r="L67" i="3"/>
  <c r="L68" i="3" s="1"/>
  <c r="K67" i="3"/>
  <c r="K68" i="3" s="1"/>
  <c r="J67" i="3"/>
  <c r="J68" i="3" s="1"/>
  <c r="I67" i="3"/>
  <c r="I68" i="3" s="1"/>
  <c r="H67" i="3"/>
  <c r="H68" i="3" s="1"/>
  <c r="G67" i="3"/>
  <c r="G68" i="3" s="1"/>
  <c r="F67" i="3"/>
  <c r="F68" i="3" s="1"/>
  <c r="E67" i="3"/>
  <c r="E68" i="3" s="1"/>
  <c r="D67" i="3"/>
  <c r="D68" i="3" s="1"/>
  <c r="C67" i="3"/>
  <c r="C68" i="3" s="1"/>
  <c r="E65" i="3"/>
  <c r="E66" i="3" s="1"/>
  <c r="D65" i="3"/>
  <c r="D66" i="3" s="1"/>
  <c r="C65" i="3"/>
  <c r="C66" i="3" s="1"/>
  <c r="C63" i="3"/>
  <c r="B63" i="3" s="1"/>
  <c r="N64" i="3" s="1"/>
  <c r="O64" i="3" s="1"/>
  <c r="C61" i="3"/>
  <c r="B61" i="3" s="1"/>
  <c r="N62" i="3" s="1"/>
  <c r="O93" i="3" l="1"/>
  <c r="C28" i="2" s="1"/>
  <c r="F85" i="3"/>
  <c r="B85" i="3" s="1"/>
  <c r="B91" i="3"/>
  <c r="B90" i="3" s="1"/>
  <c r="N91" i="3" s="1"/>
  <c r="F86" i="3"/>
  <c r="B88" i="3"/>
  <c r="N88" i="3" s="1"/>
  <c r="K89" i="3"/>
  <c r="B89" i="3"/>
  <c r="O88" i="3" s="1"/>
  <c r="E82" i="3"/>
  <c r="N83" i="3" s="1"/>
  <c r="B78" i="3"/>
  <c r="B77" i="3" s="1"/>
  <c r="N78" i="3" s="1"/>
  <c r="O78" i="3" s="1"/>
  <c r="D81" i="3"/>
  <c r="B80" i="3"/>
  <c r="C81" i="3"/>
  <c r="B76" i="3"/>
  <c r="B75" i="3" s="1"/>
  <c r="N76" i="3" s="1"/>
  <c r="B74" i="3"/>
  <c r="B73" i="3" s="1"/>
  <c r="N74" i="3" s="1"/>
  <c r="O72" i="3"/>
  <c r="C19" i="2"/>
  <c r="B66" i="3"/>
  <c r="B65" i="3" s="1"/>
  <c r="N66" i="3" s="1"/>
  <c r="C17" i="2" s="1"/>
  <c r="B68" i="3"/>
  <c r="E69" i="3"/>
  <c r="C16" i="2"/>
  <c r="O62" i="3"/>
  <c r="C15" i="2" s="1"/>
  <c r="E59" i="3"/>
  <c r="E60" i="3" s="1"/>
  <c r="D59" i="3"/>
  <c r="D60" i="3" s="1"/>
  <c r="C59" i="3"/>
  <c r="C60" i="3" s="1"/>
  <c r="G57" i="3"/>
  <c r="G58" i="3" s="1"/>
  <c r="I59" i="3"/>
  <c r="I60" i="3" s="1"/>
  <c r="H59" i="3"/>
  <c r="H60" i="3" s="1"/>
  <c r="G59" i="3"/>
  <c r="G60" i="3" s="1"/>
  <c r="F59" i="3"/>
  <c r="F60" i="3" s="1"/>
  <c r="C56" i="3"/>
  <c r="B58" i="3" s="1"/>
  <c r="H57" i="3"/>
  <c r="H58" i="3" s="1"/>
  <c r="F57" i="3"/>
  <c r="F58" i="3" s="1"/>
  <c r="E57" i="3"/>
  <c r="E58" i="3" s="1"/>
  <c r="D57" i="3"/>
  <c r="D58" i="3" s="1"/>
  <c r="C57" i="3"/>
  <c r="C58" i="3" s="1"/>
  <c r="D54" i="3"/>
  <c r="D55" i="3" s="1"/>
  <c r="C54" i="3"/>
  <c r="C55" i="3" s="1"/>
  <c r="K24" i="3"/>
  <c r="K25" i="3" s="1"/>
  <c r="L24" i="3"/>
  <c r="L25" i="3" s="1"/>
  <c r="I24" i="3"/>
  <c r="I25" i="3" s="1"/>
  <c r="H24" i="3"/>
  <c r="H25" i="3" s="1"/>
  <c r="G24" i="3"/>
  <c r="G25" i="3" s="1"/>
  <c r="F24" i="3"/>
  <c r="F25" i="3" s="1"/>
  <c r="E24" i="3"/>
  <c r="E25" i="3" s="1"/>
  <c r="D24" i="3"/>
  <c r="D25" i="3" s="1"/>
  <c r="C24" i="3"/>
  <c r="C25" i="3" s="1"/>
  <c r="H51" i="3"/>
  <c r="H52" i="3" s="1"/>
  <c r="G51" i="3"/>
  <c r="G52" i="3" s="1"/>
  <c r="F51" i="3"/>
  <c r="F52" i="3" s="1"/>
  <c r="E51" i="3"/>
  <c r="E52" i="3" s="1"/>
  <c r="D51" i="3"/>
  <c r="D52" i="3" s="1"/>
  <c r="C51" i="3"/>
  <c r="C52" i="3" s="1"/>
  <c r="I27" i="3"/>
  <c r="I28" i="3" s="1"/>
  <c r="H27" i="3"/>
  <c r="H28" i="3" s="1"/>
  <c r="G27" i="3"/>
  <c r="G28" i="3" s="1"/>
  <c r="F27" i="3"/>
  <c r="F28" i="3" s="1"/>
  <c r="E27" i="3"/>
  <c r="E28" i="3" s="1"/>
  <c r="D27" i="3"/>
  <c r="D28" i="3" s="1"/>
  <c r="C27" i="3"/>
  <c r="C28" i="3" s="1"/>
  <c r="K49" i="3"/>
  <c r="K50" i="3" s="1"/>
  <c r="J49" i="3"/>
  <c r="J50" i="3" s="1"/>
  <c r="I49" i="3"/>
  <c r="I50" i="3" s="1"/>
  <c r="H49" i="3"/>
  <c r="H50" i="3" s="1"/>
  <c r="G49" i="3"/>
  <c r="G50" i="3" s="1"/>
  <c r="F49" i="3"/>
  <c r="F50" i="3" s="1"/>
  <c r="E49" i="3"/>
  <c r="E50" i="3" s="1"/>
  <c r="D49" i="3"/>
  <c r="D50" i="3" s="1"/>
  <c r="C49" i="3"/>
  <c r="C50" i="3" s="1"/>
  <c r="B46" i="3"/>
  <c r="B47" i="3" s="1"/>
  <c r="R45" i="3"/>
  <c r="R46" i="3" s="1"/>
  <c r="Q45" i="3"/>
  <c r="Q46" i="3" s="1"/>
  <c r="P45" i="3"/>
  <c r="P46" i="3" s="1"/>
  <c r="O45" i="3"/>
  <c r="O46" i="3" s="1"/>
  <c r="N45" i="3"/>
  <c r="N46" i="3" s="1"/>
  <c r="M45" i="3"/>
  <c r="M46" i="3" s="1"/>
  <c r="L45" i="3"/>
  <c r="L46" i="3" s="1"/>
  <c r="K45" i="3"/>
  <c r="K46" i="3" s="1"/>
  <c r="J45" i="3"/>
  <c r="J46" i="3" s="1"/>
  <c r="I45" i="3"/>
  <c r="I46" i="3" s="1"/>
  <c r="H45" i="3"/>
  <c r="H46" i="3" s="1"/>
  <c r="F45" i="3"/>
  <c r="F46" i="3" s="1"/>
  <c r="G45" i="3"/>
  <c r="G46" i="3" s="1"/>
  <c r="E45" i="3"/>
  <c r="E46" i="3" s="1"/>
  <c r="D45" i="3"/>
  <c r="D46" i="3" s="1"/>
  <c r="C45" i="3"/>
  <c r="C46" i="3" s="1"/>
  <c r="L36" i="3"/>
  <c r="K36" i="3"/>
  <c r="J36" i="3"/>
  <c r="I36" i="3"/>
  <c r="H36" i="3"/>
  <c r="G36" i="3"/>
  <c r="F36" i="3"/>
  <c r="E36" i="3"/>
  <c r="E34" i="3" s="1"/>
  <c r="D36" i="3"/>
  <c r="D34" i="3" s="1"/>
  <c r="P31" i="3"/>
  <c r="P32" i="3" s="1"/>
  <c r="O31" i="3"/>
  <c r="O32" i="3" s="1"/>
  <c r="N31" i="3"/>
  <c r="N32" i="3" s="1"/>
  <c r="L31" i="3"/>
  <c r="L32" i="3" s="1"/>
  <c r="K31" i="3"/>
  <c r="K32" i="3" s="1"/>
  <c r="J31" i="3"/>
  <c r="J32" i="3" s="1"/>
  <c r="I31" i="3"/>
  <c r="I32" i="3" s="1"/>
  <c r="H31" i="3"/>
  <c r="H32" i="3" s="1"/>
  <c r="G31" i="3"/>
  <c r="G32" i="3" s="1"/>
  <c r="F31" i="3"/>
  <c r="F32" i="3" s="1"/>
  <c r="E31" i="3"/>
  <c r="E33" i="3" s="1"/>
  <c r="D31" i="3"/>
  <c r="D32" i="3" s="1"/>
  <c r="C31" i="3"/>
  <c r="C32" i="3" s="1"/>
  <c r="L14" i="3"/>
  <c r="G43" i="3"/>
  <c r="F43" i="3"/>
  <c r="E43" i="3"/>
  <c r="D43" i="3"/>
  <c r="C43" i="3"/>
  <c r="O91" i="3" l="1"/>
  <c r="C27" i="2" s="1"/>
  <c r="C22" i="2"/>
  <c r="P88" i="3"/>
  <c r="C26" i="2"/>
  <c r="B86" i="3"/>
  <c r="O85" i="3" s="1"/>
  <c r="N85" i="3"/>
  <c r="P83" i="3"/>
  <c r="C24" i="2" s="1"/>
  <c r="B81" i="3"/>
  <c r="O80" i="3" s="1"/>
  <c r="N80" i="3" s="1"/>
  <c r="O66" i="3"/>
  <c r="B67" i="3"/>
  <c r="N70" i="3" s="1"/>
  <c r="O76" i="3"/>
  <c r="C21" i="2" s="1"/>
  <c r="O74" i="3"/>
  <c r="C20" i="2"/>
  <c r="J60" i="3"/>
  <c r="I58" i="3"/>
  <c r="B57" i="3" s="1"/>
  <c r="N57" i="3" s="1"/>
  <c r="B60" i="3"/>
  <c r="B55" i="3"/>
  <c r="B54" i="3" s="1"/>
  <c r="N55" i="3" s="1"/>
  <c r="O55" i="3" s="1"/>
  <c r="M25" i="3"/>
  <c r="B26" i="3" s="1"/>
  <c r="J25" i="3"/>
  <c r="B25" i="3" s="1"/>
  <c r="N25" i="3" s="1"/>
  <c r="B52" i="3"/>
  <c r="B51" i="3" s="1"/>
  <c r="N52" i="3" s="1"/>
  <c r="E29" i="3"/>
  <c r="C29" i="3"/>
  <c r="H29" i="3"/>
  <c r="P47" i="3"/>
  <c r="B50" i="3"/>
  <c r="B49" i="3" s="1"/>
  <c r="N50" i="3" s="1"/>
  <c r="C47" i="3"/>
  <c r="F34" i="3"/>
  <c r="H33" i="3"/>
  <c r="B43" i="3"/>
  <c r="N44" i="3" s="1"/>
  <c r="O44" i="3" s="1"/>
  <c r="C5" i="2" s="1"/>
  <c r="I33" i="3"/>
  <c r="G33" i="3"/>
  <c r="J33" i="3"/>
  <c r="E32" i="3"/>
  <c r="K33" i="3"/>
  <c r="D33" i="3"/>
  <c r="L33" i="3"/>
  <c r="C33" i="3"/>
  <c r="F33" i="3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C5" i="3"/>
  <c r="B8" i="3" s="1"/>
  <c r="B12" i="3" s="1"/>
  <c r="K5" i="3"/>
  <c r="E37" i="3"/>
  <c r="E38" i="3" s="1"/>
  <c r="D37" i="3"/>
  <c r="D38" i="3" s="1"/>
  <c r="C37" i="3"/>
  <c r="C38" i="3" s="1"/>
  <c r="B15" i="3"/>
  <c r="B23" i="3" s="1"/>
  <c r="J14" i="3"/>
  <c r="J15" i="3" s="1"/>
  <c r="C14" i="3"/>
  <c r="C15" i="3" s="1"/>
  <c r="D14" i="3"/>
  <c r="G14" i="3"/>
  <c r="F14" i="3"/>
  <c r="F15" i="3" s="1"/>
  <c r="F5" i="3"/>
  <c r="F11" i="3" s="1"/>
  <c r="J5" i="3"/>
  <c r="K11" i="3" s="1"/>
  <c r="I5" i="3"/>
  <c r="J11" i="3" s="1"/>
  <c r="H5" i="3"/>
  <c r="I10" i="3" s="1"/>
  <c r="G5" i="3"/>
  <c r="H11" i="3" s="1"/>
  <c r="E5" i="3"/>
  <c r="E11" i="3" s="1"/>
  <c r="D5" i="3"/>
  <c r="D11" i="3" s="1"/>
  <c r="I4" i="3"/>
  <c r="H4" i="3"/>
  <c r="G4" i="3"/>
  <c r="F4" i="3"/>
  <c r="E4" i="3"/>
  <c r="D4" i="3"/>
  <c r="C4" i="3"/>
  <c r="K3" i="3"/>
  <c r="J3" i="3"/>
  <c r="I3" i="3"/>
  <c r="H3" i="3"/>
  <c r="G3" i="3"/>
  <c r="F3" i="3"/>
  <c r="E3" i="3"/>
  <c r="D3" i="3"/>
  <c r="C3" i="3"/>
  <c r="F2" i="3"/>
  <c r="E2" i="3"/>
  <c r="D2" i="3"/>
  <c r="C2" i="3"/>
  <c r="P85" i="3" l="1"/>
  <c r="C25" i="2" s="1"/>
  <c r="O70" i="3"/>
  <c r="C18" i="2" s="1"/>
  <c r="P80" i="3"/>
  <c r="C23" i="2"/>
  <c r="B59" i="3"/>
  <c r="O57" i="3" s="1"/>
  <c r="C13" i="2"/>
  <c r="B29" i="3"/>
  <c r="N28" i="3" s="1"/>
  <c r="B45" i="3"/>
  <c r="N48" i="3" s="1"/>
  <c r="O48" i="3" s="1"/>
  <c r="O25" i="3"/>
  <c r="P25" i="3" s="1"/>
  <c r="O52" i="3"/>
  <c r="C11" i="2" s="1"/>
  <c r="O50" i="3"/>
  <c r="C9" i="2" s="1"/>
  <c r="C34" i="3"/>
  <c r="M40" i="3"/>
  <c r="B40" i="3" s="1"/>
  <c r="N40" i="3" s="1"/>
  <c r="B18" i="3"/>
  <c r="B17" i="3"/>
  <c r="B16" i="3"/>
  <c r="E10" i="3"/>
  <c r="J10" i="3"/>
  <c r="K10" i="3"/>
  <c r="I11" i="3"/>
  <c r="D10" i="3"/>
  <c r="H10" i="3"/>
  <c r="F10" i="3"/>
  <c r="B9" i="3"/>
  <c r="B7" i="3"/>
  <c r="B4" i="3"/>
  <c r="P57" i="3" l="1"/>
  <c r="C14" i="2" s="1"/>
  <c r="O28" i="3"/>
  <c r="C10" i="2" s="1"/>
  <c r="P28" i="3"/>
  <c r="C8" i="2"/>
  <c r="B41" i="3"/>
  <c r="O40" i="3" s="1"/>
  <c r="B42" i="3"/>
  <c r="P40" i="3" s="1"/>
  <c r="L10" i="3"/>
  <c r="G10" i="3"/>
  <c r="M31" i="3"/>
  <c r="M32" i="3" s="1"/>
  <c r="B32" i="3" s="1"/>
  <c r="B33" i="3" s="1"/>
  <c r="O36" i="3" s="1"/>
  <c r="Q40" i="3" l="1"/>
  <c r="C4" i="2" s="1"/>
  <c r="O10" i="3"/>
  <c r="B11" i="3" s="1"/>
  <c r="M10" i="3"/>
  <c r="N10" i="3"/>
  <c r="P10" i="3"/>
  <c r="B38" i="3"/>
  <c r="O38" i="3" s="1"/>
  <c r="B10" i="3" l="1"/>
  <c r="P38" i="3"/>
  <c r="C2" i="2" s="1"/>
  <c r="N36" i="3" l="1"/>
  <c r="P36" i="3" s="1"/>
  <c r="C12" i="2"/>
  <c r="G15" i="3"/>
  <c r="K19" i="3" l="1"/>
  <c r="H19" i="3"/>
  <c r="I19" i="3"/>
  <c r="J19" i="3"/>
  <c r="C7" i="2"/>
  <c r="D15" i="3"/>
  <c r="B20" i="3" l="1"/>
  <c r="B22" i="3"/>
  <c r="B3" i="3" l="1"/>
  <c r="B2" i="3" l="1"/>
  <c r="E14" i="3"/>
  <c r="E15" i="3" s="1"/>
  <c r="B19" i="3" l="1"/>
  <c r="K15" i="3"/>
  <c r="B21" i="3" s="1"/>
  <c r="B14" i="3" l="1"/>
  <c r="M17" i="3" l="1"/>
  <c r="N17" i="3"/>
  <c r="N16" i="3"/>
  <c r="M16" i="3"/>
  <c r="B5" i="3"/>
  <c r="O16" i="3" l="1"/>
  <c r="C6" i="2" s="1"/>
  <c r="K6" i="3"/>
  <c r="M6" i="3" s="1"/>
  <c r="K7" i="3"/>
  <c r="N6" i="3" s="1"/>
  <c r="O6" i="3" l="1"/>
  <c r="C3" i="2" s="1"/>
</calcChain>
</file>

<file path=xl/sharedStrings.xml><?xml version="1.0" encoding="utf-8"?>
<sst xmlns="http://schemas.openxmlformats.org/spreadsheetml/2006/main" count="568" uniqueCount="350">
  <si>
    <t>Item</t>
  </si>
  <si>
    <t>Score</t>
  </si>
  <si>
    <t>F1b</t>
  </si>
  <si>
    <t>F1c</t>
  </si>
  <si>
    <t>F1d</t>
  </si>
  <si>
    <t>C1y</t>
  </si>
  <si>
    <t>C1z</t>
  </si>
  <si>
    <t>C1bb</t>
  </si>
  <si>
    <t>D5a</t>
  </si>
  <si>
    <t>C1ee</t>
  </si>
  <si>
    <t>C1cc</t>
  </si>
  <si>
    <t>C1f</t>
  </si>
  <si>
    <t>C1a</t>
  </si>
  <si>
    <t>C1e</t>
  </si>
  <si>
    <t>C1h</t>
  </si>
  <si>
    <t>C1i</t>
  </si>
  <si>
    <t>C1j</t>
  </si>
  <si>
    <t>C1k</t>
  </si>
  <si>
    <t>C1l</t>
  </si>
  <si>
    <t>C1m</t>
  </si>
  <si>
    <t>C1v</t>
  </si>
  <si>
    <t>C1w</t>
  </si>
  <si>
    <t>C1x</t>
  </si>
  <si>
    <t>C1ff</t>
  </si>
  <si>
    <t>E4c</t>
  </si>
  <si>
    <t>E1a</t>
  </si>
  <si>
    <t>E3a</t>
  </si>
  <si>
    <t>Scale</t>
  </si>
  <si>
    <t>ABS</t>
  </si>
  <si>
    <t>Communication</t>
  </si>
  <si>
    <t>DSI</t>
  </si>
  <si>
    <t>PSS</t>
  </si>
  <si>
    <t>RHO</t>
  </si>
  <si>
    <t>SoS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</si>
  <si>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</si>
  <si>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</si>
  <si>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</si>
  <si>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</si>
  <si>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</si>
  <si>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</si>
  <si>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</si>
  <si>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</si>
  <si>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</si>
  <si>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</si>
  <si>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</si>
  <si>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</si>
  <si>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</si>
  <si>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Notes</t>
  </si>
  <si>
    <t>O4</t>
  </si>
  <si>
    <t>No Trigger</t>
  </si>
  <si>
    <t>Step 1</t>
  </si>
  <si>
    <t>E4a</t>
  </si>
  <si>
    <t>E4b</t>
  </si>
  <si>
    <t>C1gg</t>
  </si>
  <si>
    <t>Fam Conc</t>
  </si>
  <si>
    <t>Hx Suic</t>
  </si>
  <si>
    <t>E3b</t>
  </si>
  <si>
    <t>Suic Plan</t>
  </si>
  <si>
    <t>DSI 1</t>
  </si>
  <si>
    <t>DSI 2</t>
  </si>
  <si>
    <t>High</t>
  </si>
  <si>
    <t>Moderate</t>
  </si>
  <si>
    <t>Not</t>
  </si>
  <si>
    <t>Suicidality and Purposeful Self-Harm CAP</t>
  </si>
  <si>
    <t>Self-Care CAP</t>
  </si>
  <si>
    <t>Reduce</t>
  </si>
  <si>
    <t>Improve</t>
  </si>
  <si>
    <t>Informal Support CAP</t>
  </si>
  <si>
    <t>Interpersonal Conflict CAP</t>
  </si>
  <si>
    <t>Interpersonal Conflict</t>
  </si>
  <si>
    <t>Specific</t>
  </si>
  <si>
    <t>Traumatic Life Events CAP</t>
  </si>
  <si>
    <t>Traumatic Life Events</t>
  </si>
  <si>
    <t>Widespread</t>
  </si>
  <si>
    <t xml:space="preserve">   Immediate</t>
  </si>
  <si>
    <t xml:space="preserve">   Prior</t>
  </si>
  <si>
    <t>Immediate</t>
  </si>
  <si>
    <t>Prior</t>
  </si>
  <si>
    <t>Trigger</t>
  </si>
  <si>
    <t>F1a</t>
  </si>
  <si>
    <t>Age</t>
  </si>
  <si>
    <t>L2</t>
  </si>
  <si>
    <t>L3</t>
  </si>
  <si>
    <t>R4b</t>
  </si>
  <si>
    <t>Substance Use CAP</t>
  </si>
  <si>
    <t>Weight Management CAP</t>
  </si>
  <si>
    <t>Sleep Disturbance CAP</t>
  </si>
  <si>
    <t>Withdrawal</t>
  </si>
  <si>
    <t>Substance Use</t>
  </si>
  <si>
    <t>D4</t>
  </si>
  <si>
    <t>N1a</t>
  </si>
  <si>
    <t>N1b</t>
  </si>
  <si>
    <t>Weight Management</t>
  </si>
  <si>
    <t>H3</t>
  </si>
  <si>
    <t>Sleep Disturbance</t>
  </si>
  <si>
    <t>C1ii</t>
  </si>
  <si>
    <t>C1n</t>
  </si>
  <si>
    <t>C1dd</t>
  </si>
  <si>
    <t>C1kk</t>
  </si>
  <si>
    <t>E6c</t>
  </si>
  <si>
    <t>E2</t>
  </si>
  <si>
    <t>Criminality Prevention CAP</t>
  </si>
  <si>
    <t>Harm to Others CAP</t>
  </si>
  <si>
    <t>Hazardous Fire Involvement CAP</t>
  </si>
  <si>
    <t>Sexual Behavior CAP</t>
  </si>
  <si>
    <t>RHO/Criminal</t>
  </si>
  <si>
    <t>F4a</t>
  </si>
  <si>
    <t>Criminal</t>
  </si>
  <si>
    <t>C1tt</t>
  </si>
  <si>
    <t>Sexual Behav</t>
  </si>
  <si>
    <t>F1n</t>
  </si>
  <si>
    <t>F2</t>
  </si>
  <si>
    <t>F3</t>
  </si>
  <si>
    <t>Traumatic Life Ev</t>
  </si>
  <si>
    <t>N1f</t>
  </si>
  <si>
    <t>N1g</t>
  </si>
  <si>
    <t>N1i</t>
  </si>
  <si>
    <t>N1j</t>
  </si>
  <si>
    <t>N1k</t>
  </si>
  <si>
    <t>N1l</t>
  </si>
  <si>
    <t>N1n</t>
  </si>
  <si>
    <t>N1o</t>
  </si>
  <si>
    <t>N8a</t>
  </si>
  <si>
    <t>N8c</t>
  </si>
  <si>
    <t>N8d</t>
  </si>
  <si>
    <t>N6</t>
  </si>
  <si>
    <t>N2</t>
  </si>
  <si>
    <t>C1s</t>
  </si>
  <si>
    <t>C1q</t>
  </si>
  <si>
    <t>Adol Supp B8b</t>
  </si>
  <si>
    <t>Adol Supp B9</t>
  </si>
  <si>
    <t>B8</t>
  </si>
  <si>
    <t>Attachment</t>
  </si>
  <si>
    <t>B9b</t>
  </si>
  <si>
    <t>B9a</t>
  </si>
  <si>
    <t>B9c</t>
  </si>
  <si>
    <t>B11</t>
  </si>
  <si>
    <t>Traumatic Life Ev/Attachment</t>
  </si>
  <si>
    <t>N1p</t>
  </si>
  <si>
    <t>N4a</t>
  </si>
  <si>
    <t>M2a</t>
  </si>
  <si>
    <t>M2b</t>
  </si>
  <si>
    <t>M2c</t>
  </si>
  <si>
    <t>N5a</t>
  </si>
  <si>
    <t>Caregiver Distress</t>
  </si>
  <si>
    <t>N5b</t>
  </si>
  <si>
    <t>Attachment/Caregiver Distress</t>
  </si>
  <si>
    <t>Traumatic Life Ev/Attachment/Caregiver Distress</t>
  </si>
  <si>
    <t>N3</t>
  </si>
  <si>
    <t>M5g</t>
  </si>
  <si>
    <t>A11a</t>
  </si>
  <si>
    <t>A11b</t>
  </si>
  <si>
    <t>M5a</t>
  </si>
  <si>
    <t>M5b</t>
  </si>
  <si>
    <t>M5c</t>
  </si>
  <si>
    <t>M5d</t>
  </si>
  <si>
    <t>M5e</t>
  </si>
  <si>
    <t>M5f</t>
  </si>
  <si>
    <t>R4d</t>
  </si>
  <si>
    <t>M1a</t>
  </si>
  <si>
    <t>Parenting</t>
  </si>
  <si>
    <t>M1b</t>
  </si>
  <si>
    <t>M1c</t>
  </si>
  <si>
    <t>M1d</t>
  </si>
  <si>
    <t>M1e</t>
  </si>
  <si>
    <t>M1f</t>
  </si>
  <si>
    <t>Hazardous Fire/Parenting</t>
  </si>
  <si>
    <t>E6a</t>
  </si>
  <si>
    <t>Hazardous Fire</t>
  </si>
  <si>
    <t>RHO/PSS/Hazardous Fire</t>
  </si>
  <si>
    <t>RHO/PSS/SoS/Hazardous Fire</t>
  </si>
  <si>
    <t>Hazardous Fire/Traumatic Life Ev/Attachment</t>
  </si>
  <si>
    <t>H1</t>
  </si>
  <si>
    <t>C3d</t>
  </si>
  <si>
    <t>Social and Peer Rels</t>
  </si>
  <si>
    <t>DSI/Social and Peer Rels</t>
  </si>
  <si>
    <t>G1a</t>
  </si>
  <si>
    <t>G1h</t>
  </si>
  <si>
    <t>G1i</t>
  </si>
  <si>
    <t>M9</t>
  </si>
  <si>
    <t>J1</t>
  </si>
  <si>
    <t>J2</t>
  </si>
  <si>
    <t>I2a</t>
  </si>
  <si>
    <t>Life Skills</t>
  </si>
  <si>
    <t>I2b</t>
  </si>
  <si>
    <t>I2c</t>
  </si>
  <si>
    <t>I2d</t>
  </si>
  <si>
    <t>I2f</t>
  </si>
  <si>
    <t>I2g</t>
  </si>
  <si>
    <t>I1a</t>
  </si>
  <si>
    <t>I1b</t>
  </si>
  <si>
    <t>I1c</t>
  </si>
  <si>
    <t>D2</t>
  </si>
  <si>
    <t>Caffeine Use</t>
  </si>
  <si>
    <t>Adol Supp B6</t>
  </si>
  <si>
    <t>Gambling</t>
  </si>
  <si>
    <t>O2</t>
  </si>
  <si>
    <t>Medication Adherence</t>
  </si>
  <si>
    <t>O5</t>
  </si>
  <si>
    <t>Medication Review</t>
  </si>
  <si>
    <t>Medication Adherence/Medication Review</t>
  </si>
  <si>
    <t>O3</t>
  </si>
  <si>
    <t>C4</t>
  </si>
  <si>
    <t>L1a</t>
  </si>
  <si>
    <t>L1k</t>
  </si>
  <si>
    <t>L1d</t>
  </si>
  <si>
    <t>L1c</t>
  </si>
  <si>
    <t>L1i</t>
  </si>
  <si>
    <t>L1e</t>
  </si>
  <si>
    <t>L1j</t>
  </si>
  <si>
    <t>L5a</t>
  </si>
  <si>
    <t>L5b</t>
  </si>
  <si>
    <t>L5c</t>
  </si>
  <si>
    <t>L5d</t>
  </si>
  <si>
    <t>L5e</t>
  </si>
  <si>
    <t>L5f</t>
  </si>
  <si>
    <t>L5g</t>
  </si>
  <si>
    <t>L1g</t>
  </si>
  <si>
    <t>L7</t>
  </si>
  <si>
    <t>Physical Activity</t>
  </si>
  <si>
    <t>C1oo</t>
  </si>
  <si>
    <t>C1pp</t>
  </si>
  <si>
    <t>C1qq</t>
  </si>
  <si>
    <t>C1rr</t>
  </si>
  <si>
    <t>G1b</t>
  </si>
  <si>
    <t>Strengths</t>
  </si>
  <si>
    <t>G1e</t>
  </si>
  <si>
    <t>H4a</t>
  </si>
  <si>
    <t>Adol Supp B2</t>
  </si>
  <si>
    <t>Adol Supp B3a</t>
  </si>
  <si>
    <t>Adol Supp B3b</t>
  </si>
  <si>
    <t>Adol Supp B3c</t>
  </si>
  <si>
    <t>Adol Supp B3d</t>
  </si>
  <si>
    <t>Adol Supp B3e</t>
  </si>
  <si>
    <t>Adol Supp B3f</t>
  </si>
  <si>
    <t>Adol Supp B4</t>
  </si>
  <si>
    <t>D3</t>
  </si>
  <si>
    <t>Tobacco &amp; Nicotine Use</t>
  </si>
  <si>
    <t>Video Gaming</t>
  </si>
  <si>
    <t>Q1a</t>
  </si>
  <si>
    <t>Q1b</t>
  </si>
  <si>
    <t>Q1c</t>
  </si>
  <si>
    <t>Adol Supp B7a</t>
  </si>
  <si>
    <t>Adol Supp B7b</t>
  </si>
  <si>
    <t>Adol Supp B7c</t>
  </si>
  <si>
    <t>R4a</t>
  </si>
  <si>
    <t>Education</t>
  </si>
  <si>
    <t>R4c</t>
  </si>
  <si>
    <t>Interpersonal Conflict/Education</t>
  </si>
  <si>
    <t>R5</t>
  </si>
  <si>
    <t>R9</t>
  </si>
  <si>
    <t>Enter Capacity Score</t>
  </si>
  <si>
    <t>R6a</t>
  </si>
  <si>
    <t>R6b</t>
  </si>
  <si>
    <t>Adol Supp F1</t>
  </si>
  <si>
    <t>M4a</t>
  </si>
  <si>
    <t>Informal Support</t>
  </si>
  <si>
    <t>M4b</t>
  </si>
  <si>
    <t>M4c</t>
  </si>
  <si>
    <t>M4d</t>
  </si>
  <si>
    <t>M4e</t>
  </si>
  <si>
    <t>P8</t>
  </si>
  <si>
    <t>Transitions</t>
  </si>
  <si>
    <t>PSS/RHO</t>
  </si>
  <si>
    <t>No or &gt; 1 yr viol</t>
  </si>
  <si>
    <t>V 8 days-1year</t>
  </si>
  <si>
    <t>V 1-7days</t>
  </si>
  <si>
    <t>Potential risk in last 7 days?</t>
  </si>
  <si>
    <t>Yes</t>
  </si>
  <si>
    <t>No</t>
  </si>
  <si>
    <t>Step 2-V 8 days-1 yr</t>
  </si>
  <si>
    <t>Step 2-V 1-7 days</t>
  </si>
  <si>
    <t>Step 2-No or &gt;1yr viol</t>
  </si>
  <si>
    <t>+ Symptoms in last 3 days?</t>
  </si>
  <si>
    <t>Yes/Yes</t>
  </si>
  <si>
    <t>Yes/No</t>
  </si>
  <si>
    <t>No/Yes</t>
  </si>
  <si>
    <t>No/No</t>
  </si>
  <si>
    <t>Com Hall</t>
  </si>
  <si>
    <t>Step 1 Never</t>
  </si>
  <si>
    <t>Self-Inj Ideation last 3</t>
  </si>
  <si>
    <t>Self-Inj Ideation 4-30 days</t>
  </si>
  <si>
    <t>Self-Inj Ideation 31+ days</t>
  </si>
  <si>
    <t>Step2- last 3 days</t>
  </si>
  <si>
    <t>Step 2- 31+ Yes</t>
  </si>
  <si>
    <t>Step2- 4-30 days</t>
  </si>
  <si>
    <t>Step2-31+ No</t>
  </si>
  <si>
    <t>Step 2- Never</t>
  </si>
  <si>
    <t>Fam Concern/CH</t>
  </si>
  <si>
    <t>Criminal Behav Prevention</t>
  </si>
  <si>
    <t>Harm to Others</t>
  </si>
  <si>
    <t>Interv</t>
  </si>
  <si>
    <t>Prev</t>
  </si>
  <si>
    <t>High Risk</t>
  </si>
  <si>
    <t>Low Risk</t>
  </si>
  <si>
    <t>Low</t>
  </si>
  <si>
    <t>Sexual Behavior</t>
  </si>
  <si>
    <t>Harm to Others/Hazardous Fire/SoS addl</t>
  </si>
  <si>
    <t>Impuls</t>
  </si>
  <si>
    <t>Suicidality/Self-Harm</t>
  </si>
  <si>
    <t>Event</t>
  </si>
  <si>
    <t>Neglect</t>
  </si>
  <si>
    <t>Traumatic Life Ev(no)/Caregiver Distress</t>
  </si>
  <si>
    <t>Horror</t>
  </si>
  <si>
    <t>Traumatic Life Ev/Sleep Disturbance</t>
  </si>
  <si>
    <t>Responses</t>
  </si>
  <si>
    <t>Attachment CAP</t>
  </si>
  <si>
    <t>Caregiver Distress CAP</t>
  </si>
  <si>
    <t>Parenting CAP</t>
  </si>
  <si>
    <t>Social and Peer Relationships CAP</t>
  </si>
  <si>
    <t>Social &amp; Peer Relationships</t>
  </si>
  <si>
    <t>Maladaptive</t>
  </si>
  <si>
    <t>F4b</t>
  </si>
  <si>
    <t>Communication CAP</t>
  </si>
  <si>
    <t>ADL</t>
  </si>
  <si>
    <t>IADL</t>
  </si>
  <si>
    <t>Attachment/Life Skills</t>
  </si>
  <si>
    <t>Age 6-18?</t>
  </si>
  <si>
    <t>Age 12-18?</t>
  </si>
  <si>
    <t>Enter Capacity score</t>
  </si>
  <si>
    <t>Adol Supp D1a</t>
  </si>
  <si>
    <t>Adol Supp D1b</t>
  </si>
  <si>
    <t>Adol Supp D1c</t>
  </si>
  <si>
    <t>Adol Supp D1d</t>
  </si>
  <si>
    <t>Collaborative Action Plan (CAP)</t>
  </si>
  <si>
    <t>Caffeine Use CAP</t>
  </si>
  <si>
    <t>Gambling CAP</t>
  </si>
  <si>
    <t>Medication Adherence CAP</t>
  </si>
  <si>
    <t>Medication Review CAP</t>
  </si>
  <si>
    <t>Physical Activity CAP</t>
  </si>
  <si>
    <t>Strengths CAP</t>
  </si>
  <si>
    <t>Tobacco and Nicotine Use CAP</t>
  </si>
  <si>
    <t>Tobacco &amp; Nicotine</t>
  </si>
  <si>
    <t>Prevent</t>
  </si>
  <si>
    <t>Reduce/Cease</t>
  </si>
  <si>
    <t>Video Gaming CAP</t>
  </si>
  <si>
    <t>Severe</t>
  </si>
  <si>
    <t>Weight Concerns</t>
  </si>
  <si>
    <t>Problem Eating Behav</t>
  </si>
  <si>
    <t>Concerns</t>
  </si>
  <si>
    <t>Prob Beh</t>
  </si>
  <si>
    <t>Education CAP</t>
  </si>
  <si>
    <t>Transitions CAP</t>
  </si>
  <si>
    <t>Risk of Dropping Out</t>
  </si>
  <si>
    <t>Disrupted Educ</t>
  </si>
  <si>
    <t>Risk Drop</t>
  </si>
  <si>
    <t>Disrupted</t>
  </si>
  <si>
    <t>Informal Supports</t>
  </si>
  <si>
    <t>CAP #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</si>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</sst>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quotePrefix="1"/>
    <xf numFmtId="0" fontId="1" fillId="0" borderId="0" xfId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841F-4CF2-4F4C-9FAB-1165004CAEDA}">
  <dimension ref="A1:D178"/>
  <sheetViews>
    <sheetView tabSelected="1" zoomScale="80" zoomScaleNormal="80" workbookViewId="0">
      <pane ySplit="1" topLeftCell="A2" activePane="bottomLeft" state="frozen"/>
      <selection pane="bottomLeft" activeCell="C178" sqref="C2:C178"/>
    </sheetView>
  </sheetViews>
  <sheetFormatPr defaultRowHeight="15" x14ac:dyDescent="0.25"/>
  <cols>
    <col min="1" max="1" width="16.5703125" customWidth="1"/>
    <col min="2" max="2" width="40.85546875" hidden="1" customWidth="1"/>
    <col min="4" max="4" width="21.7109375" customWidth="1"/>
  </cols>
  <sheetData>
    <row r="1" spans="1:4" x14ac:dyDescent="0.25">
      <c r="A1" t="s">
        <v>0</v>
      </c>
      <c r="B1" t="s">
        <v>27</v>
      </c>
      <c r="C1" t="s">
        <v>1</v>
      </c>
      <c r="D1" t="s">
        <v>47</v>
      </c>
    </row>
    <row r="2" spans="1:4" x14ac:dyDescent="0.25">
      <c r="A2" t="s">
        <v>150</v>
      </c>
      <c r="B2" t="s">
        <v>144</v>
      </c>
    </row>
    <row r="3" spans="1:4" x14ac:dyDescent="0.25">
      <c r="A3" t="s">
        <v>151</v>
      </c>
      <c r="B3" t="s">
        <v>144</v>
      </c>
    </row>
    <row r="4" spans="1:4" x14ac:dyDescent="0.25">
      <c r="A4" t="s">
        <v>131</v>
      </c>
      <c r="B4" t="s">
        <v>132</v>
      </c>
    </row>
    <row r="5" spans="1:4" x14ac:dyDescent="0.25">
      <c r="A5" t="s">
        <v>134</v>
      </c>
      <c r="B5" t="s">
        <v>132</v>
      </c>
    </row>
    <row r="6" spans="1:4" x14ac:dyDescent="0.25">
      <c r="A6" t="s">
        <v>133</v>
      </c>
      <c r="B6" t="s">
        <v>137</v>
      </c>
    </row>
    <row r="7" spans="1:4" x14ac:dyDescent="0.25">
      <c r="A7" t="s">
        <v>135</v>
      </c>
      <c r="B7" t="s">
        <v>132</v>
      </c>
    </row>
    <row r="8" spans="1:4" x14ac:dyDescent="0.25">
      <c r="A8" t="s">
        <v>136</v>
      </c>
      <c r="B8" t="s">
        <v>132</v>
      </c>
    </row>
    <row r="9" spans="1:4" x14ac:dyDescent="0.25">
      <c r="A9" t="s">
        <v>12</v>
      </c>
      <c r="B9" t="s">
        <v>297</v>
      </c>
    </row>
    <row r="10" spans="1:4" x14ac:dyDescent="0.25">
      <c r="A10" t="s">
        <v>13</v>
      </c>
      <c r="B10" t="s">
        <v>30</v>
      </c>
    </row>
    <row r="11" spans="1:4" x14ac:dyDescent="0.25">
      <c r="A11" t="s">
        <v>11</v>
      </c>
      <c r="B11" t="s">
        <v>30</v>
      </c>
    </row>
    <row r="12" spans="1:4" x14ac:dyDescent="0.25">
      <c r="A12" t="s">
        <v>14</v>
      </c>
      <c r="B12" t="s">
        <v>30</v>
      </c>
    </row>
    <row r="13" spans="1:4" x14ac:dyDescent="0.25">
      <c r="A13" t="s">
        <v>15</v>
      </c>
      <c r="B13" t="s">
        <v>30</v>
      </c>
    </row>
    <row r="14" spans="1:4" x14ac:dyDescent="0.25">
      <c r="A14" t="s">
        <v>16</v>
      </c>
      <c r="B14" t="s">
        <v>30</v>
      </c>
    </row>
    <row r="15" spans="1:4" x14ac:dyDescent="0.25">
      <c r="A15" t="s">
        <v>17</v>
      </c>
      <c r="B15" t="s">
        <v>30</v>
      </c>
    </row>
    <row r="16" spans="1:4" x14ac:dyDescent="0.25">
      <c r="A16" t="s">
        <v>18</v>
      </c>
      <c r="B16" t="s">
        <v>31</v>
      </c>
    </row>
    <row r="17" spans="1:2" x14ac:dyDescent="0.25">
      <c r="A17" t="s">
        <v>19</v>
      </c>
      <c r="B17" t="s">
        <v>30</v>
      </c>
    </row>
    <row r="18" spans="1:2" x14ac:dyDescent="0.25">
      <c r="A18" t="s">
        <v>96</v>
      </c>
      <c r="B18" t="s">
        <v>31</v>
      </c>
    </row>
    <row r="19" spans="1:2" x14ac:dyDescent="0.25">
      <c r="A19" t="s">
        <v>128</v>
      </c>
      <c r="B19" t="s">
        <v>113</v>
      </c>
    </row>
    <row r="20" spans="1:2" x14ac:dyDescent="0.25">
      <c r="A20" t="s">
        <v>127</v>
      </c>
      <c r="B20" t="s">
        <v>113</v>
      </c>
    </row>
    <row r="21" spans="1:2" x14ac:dyDescent="0.25">
      <c r="A21" t="s">
        <v>20</v>
      </c>
      <c r="B21" t="s">
        <v>113</v>
      </c>
    </row>
    <row r="22" spans="1:2" x14ac:dyDescent="0.25">
      <c r="A22" t="s">
        <v>21</v>
      </c>
      <c r="B22" t="s">
        <v>113</v>
      </c>
    </row>
    <row r="23" spans="1:2" x14ac:dyDescent="0.25">
      <c r="A23" t="s">
        <v>22</v>
      </c>
      <c r="B23" t="s">
        <v>113</v>
      </c>
    </row>
    <row r="24" spans="1:2" x14ac:dyDescent="0.25">
      <c r="A24" t="s">
        <v>22</v>
      </c>
      <c r="B24" t="s">
        <v>113</v>
      </c>
    </row>
    <row r="25" spans="1:2" x14ac:dyDescent="0.25">
      <c r="A25" t="s">
        <v>5</v>
      </c>
      <c r="B25" t="s">
        <v>304</v>
      </c>
    </row>
    <row r="26" spans="1:2" x14ac:dyDescent="0.25">
      <c r="A26" t="s">
        <v>6</v>
      </c>
      <c r="B26" t="s">
        <v>113</v>
      </c>
    </row>
    <row r="27" spans="1:2" x14ac:dyDescent="0.25">
      <c r="A27" t="s">
        <v>7</v>
      </c>
      <c r="B27" t="s">
        <v>169</v>
      </c>
    </row>
    <row r="28" spans="1:2" x14ac:dyDescent="0.25">
      <c r="A28" t="s">
        <v>10</v>
      </c>
      <c r="B28" t="s">
        <v>170</v>
      </c>
    </row>
    <row r="29" spans="1:2" x14ac:dyDescent="0.25">
      <c r="A29" t="s">
        <v>97</v>
      </c>
      <c r="B29" t="s">
        <v>169</v>
      </c>
    </row>
    <row r="30" spans="1:2" x14ac:dyDescent="0.25">
      <c r="A30" t="s">
        <v>9</v>
      </c>
      <c r="B30" t="s">
        <v>263</v>
      </c>
    </row>
    <row r="31" spans="1:2" x14ac:dyDescent="0.25">
      <c r="A31" t="s">
        <v>23</v>
      </c>
      <c r="B31" t="s">
        <v>174</v>
      </c>
    </row>
    <row r="32" spans="1:2" x14ac:dyDescent="0.25">
      <c r="A32" t="s">
        <v>53</v>
      </c>
      <c r="B32" t="s">
        <v>30</v>
      </c>
    </row>
    <row r="33" spans="1:4" x14ac:dyDescent="0.25">
      <c r="A33" t="s">
        <v>95</v>
      </c>
      <c r="B33" t="s">
        <v>175</v>
      </c>
    </row>
    <row r="34" spans="1:4" x14ac:dyDescent="0.25">
      <c r="A34" t="s">
        <v>98</v>
      </c>
      <c r="B34" t="s">
        <v>31</v>
      </c>
    </row>
    <row r="35" spans="1:4" x14ac:dyDescent="0.25">
      <c r="A35" t="s">
        <v>220</v>
      </c>
      <c r="B35" t="s">
        <v>94</v>
      </c>
    </row>
    <row r="36" spans="1:4" x14ac:dyDescent="0.25">
      <c r="A36" t="s">
        <v>221</v>
      </c>
      <c r="B36" t="s">
        <v>94</v>
      </c>
    </row>
    <row r="37" spans="1:4" x14ac:dyDescent="0.25">
      <c r="A37" t="s">
        <v>222</v>
      </c>
      <c r="B37" t="s">
        <v>94</v>
      </c>
    </row>
    <row r="38" spans="1:4" x14ac:dyDescent="0.25">
      <c r="A38" t="s">
        <v>223</v>
      </c>
      <c r="B38" t="s">
        <v>94</v>
      </c>
    </row>
    <row r="39" spans="1:4" x14ac:dyDescent="0.25">
      <c r="A39" t="s">
        <v>108</v>
      </c>
      <c r="B39" t="s">
        <v>107</v>
      </c>
    </row>
    <row r="40" spans="1:4" x14ac:dyDescent="0.25">
      <c r="A40" t="s">
        <v>173</v>
      </c>
      <c r="B40" t="s">
        <v>174</v>
      </c>
    </row>
    <row r="41" spans="1:4" x14ac:dyDescent="0.25">
      <c r="A41" t="s">
        <v>202</v>
      </c>
      <c r="B41" t="s">
        <v>199</v>
      </c>
    </row>
    <row r="42" spans="1:4" x14ac:dyDescent="0.25">
      <c r="A42" t="s">
        <v>192</v>
      </c>
      <c r="B42" t="s">
        <v>193</v>
      </c>
      <c r="D42" s="4"/>
    </row>
    <row r="43" spans="1:4" x14ac:dyDescent="0.25">
      <c r="A43" t="s">
        <v>236</v>
      </c>
      <c r="B43" t="s">
        <v>237</v>
      </c>
    </row>
    <row r="44" spans="1:4" x14ac:dyDescent="0.25">
      <c r="A44" t="s">
        <v>89</v>
      </c>
      <c r="B44" t="s">
        <v>237</v>
      </c>
    </row>
    <row r="45" spans="1:4" x14ac:dyDescent="0.25">
      <c r="A45" t="s">
        <v>8</v>
      </c>
      <c r="B45" t="s">
        <v>238</v>
      </c>
    </row>
    <row r="46" spans="1:4" x14ac:dyDescent="0.25">
      <c r="A46" t="s">
        <v>25</v>
      </c>
      <c r="B46" t="s">
        <v>33</v>
      </c>
    </row>
    <row r="47" spans="1:4" x14ac:dyDescent="0.25">
      <c r="A47" t="s">
        <v>100</v>
      </c>
      <c r="B47" t="s">
        <v>33</v>
      </c>
    </row>
    <row r="48" spans="1:4" x14ac:dyDescent="0.25">
      <c r="A48" t="s">
        <v>26</v>
      </c>
      <c r="B48" t="s">
        <v>33</v>
      </c>
    </row>
    <row r="49" spans="1:2" x14ac:dyDescent="0.25">
      <c r="A49" t="s">
        <v>56</v>
      </c>
      <c r="B49" t="s">
        <v>33</v>
      </c>
    </row>
    <row r="50" spans="1:2" x14ac:dyDescent="0.25">
      <c r="A50" t="s">
        <v>51</v>
      </c>
      <c r="B50" t="s">
        <v>32</v>
      </c>
    </row>
    <row r="51" spans="1:2" x14ac:dyDescent="0.25">
      <c r="A51" t="s">
        <v>52</v>
      </c>
      <c r="B51" t="s">
        <v>32</v>
      </c>
    </row>
    <row r="52" spans="1:2" x14ac:dyDescent="0.25">
      <c r="A52" t="s">
        <v>24</v>
      </c>
      <c r="B52" t="s">
        <v>105</v>
      </c>
    </row>
    <row r="53" spans="1:2" x14ac:dyDescent="0.25">
      <c r="A53" t="s">
        <v>167</v>
      </c>
      <c r="B53" t="s">
        <v>168</v>
      </c>
    </row>
    <row r="54" spans="1:2" x14ac:dyDescent="0.25">
      <c r="A54" t="s">
        <v>99</v>
      </c>
      <c r="B54" t="s">
        <v>32</v>
      </c>
    </row>
    <row r="55" spans="1:2" x14ac:dyDescent="0.25">
      <c r="A55" t="s">
        <v>79</v>
      </c>
      <c r="B55" t="s">
        <v>28</v>
      </c>
    </row>
    <row r="56" spans="1:2" x14ac:dyDescent="0.25">
      <c r="A56" t="s">
        <v>2</v>
      </c>
      <c r="B56" t="s">
        <v>28</v>
      </c>
    </row>
    <row r="57" spans="1:2" x14ac:dyDescent="0.25">
      <c r="A57" t="s">
        <v>3</v>
      </c>
      <c r="B57" t="s">
        <v>28</v>
      </c>
    </row>
    <row r="58" spans="1:2" x14ac:dyDescent="0.25">
      <c r="A58" t="s">
        <v>4</v>
      </c>
      <c r="B58" t="s">
        <v>28</v>
      </c>
    </row>
    <row r="59" spans="1:2" x14ac:dyDescent="0.25">
      <c r="A59" t="s">
        <v>110</v>
      </c>
      <c r="B59" t="s">
        <v>109</v>
      </c>
    </row>
    <row r="60" spans="1:2" x14ac:dyDescent="0.25">
      <c r="A60" t="s">
        <v>111</v>
      </c>
      <c r="B60" t="s">
        <v>109</v>
      </c>
    </row>
    <row r="61" spans="1:2" x14ac:dyDescent="0.25">
      <c r="A61" t="s">
        <v>112</v>
      </c>
      <c r="B61" t="s">
        <v>109</v>
      </c>
    </row>
    <row r="62" spans="1:2" x14ac:dyDescent="0.25">
      <c r="A62" t="s">
        <v>106</v>
      </c>
      <c r="B62" t="s">
        <v>107</v>
      </c>
    </row>
    <row r="63" spans="1:2" x14ac:dyDescent="0.25">
      <c r="A63" t="s">
        <v>312</v>
      </c>
      <c r="B63" t="s">
        <v>174</v>
      </c>
    </row>
    <row r="64" spans="1:2" x14ac:dyDescent="0.25">
      <c r="A64" t="s">
        <v>176</v>
      </c>
      <c r="B64" t="s">
        <v>174</v>
      </c>
    </row>
    <row r="65" spans="1:4" x14ac:dyDescent="0.25">
      <c r="A65" t="s">
        <v>224</v>
      </c>
      <c r="B65" t="s">
        <v>225</v>
      </c>
    </row>
    <row r="66" spans="1:4" x14ac:dyDescent="0.25">
      <c r="A66" t="s">
        <v>226</v>
      </c>
      <c r="B66" t="s">
        <v>225</v>
      </c>
    </row>
    <row r="67" spans="1:4" x14ac:dyDescent="0.25">
      <c r="A67" t="s">
        <v>177</v>
      </c>
      <c r="B67" t="s">
        <v>174</v>
      </c>
    </row>
    <row r="68" spans="1:4" x14ac:dyDescent="0.25">
      <c r="A68" t="s">
        <v>178</v>
      </c>
      <c r="B68" t="s">
        <v>174</v>
      </c>
    </row>
    <row r="69" spans="1:4" x14ac:dyDescent="0.25">
      <c r="A69" t="s">
        <v>172</v>
      </c>
      <c r="B69" t="s">
        <v>168</v>
      </c>
    </row>
    <row r="70" spans="1:4" x14ac:dyDescent="0.25">
      <c r="A70" t="s">
        <v>93</v>
      </c>
      <c r="B70" t="s">
        <v>225</v>
      </c>
    </row>
    <row r="71" spans="1:4" x14ac:dyDescent="0.25">
      <c r="A71" t="s">
        <v>227</v>
      </c>
      <c r="B71" t="s">
        <v>225</v>
      </c>
    </row>
    <row r="72" spans="1:4" x14ac:dyDescent="0.25">
      <c r="A72" t="s">
        <v>189</v>
      </c>
      <c r="B72" t="s">
        <v>183</v>
      </c>
      <c r="D72" t="s">
        <v>319</v>
      </c>
    </row>
    <row r="73" spans="1:4" x14ac:dyDescent="0.25">
      <c r="A73" t="s">
        <v>190</v>
      </c>
      <c r="B73" t="s">
        <v>183</v>
      </c>
      <c r="D73" t="s">
        <v>319</v>
      </c>
    </row>
    <row r="74" spans="1:4" x14ac:dyDescent="0.25">
      <c r="A74" t="s">
        <v>191</v>
      </c>
      <c r="B74" t="s">
        <v>183</v>
      </c>
      <c r="D74" t="s">
        <v>319</v>
      </c>
    </row>
    <row r="75" spans="1:4" x14ac:dyDescent="0.25">
      <c r="A75" t="s">
        <v>182</v>
      </c>
      <c r="B75" t="s">
        <v>183</v>
      </c>
    </row>
    <row r="76" spans="1:4" x14ac:dyDescent="0.25">
      <c r="A76" t="s">
        <v>184</v>
      </c>
      <c r="B76" t="s">
        <v>183</v>
      </c>
    </row>
    <row r="77" spans="1:4" x14ac:dyDescent="0.25">
      <c r="A77" t="s">
        <v>185</v>
      </c>
      <c r="B77" t="s">
        <v>183</v>
      </c>
    </row>
    <row r="78" spans="1:4" x14ac:dyDescent="0.25">
      <c r="A78" t="s">
        <v>186</v>
      </c>
      <c r="B78" t="s">
        <v>183</v>
      </c>
    </row>
    <row r="79" spans="1:4" x14ac:dyDescent="0.25">
      <c r="A79" t="s">
        <v>187</v>
      </c>
      <c r="B79" t="s">
        <v>183</v>
      </c>
    </row>
    <row r="80" spans="1:4" x14ac:dyDescent="0.25">
      <c r="A80" t="s">
        <v>188</v>
      </c>
      <c r="B80" t="s">
        <v>183</v>
      </c>
    </row>
    <row r="81" spans="1:2" x14ac:dyDescent="0.25">
      <c r="A81" t="s">
        <v>180</v>
      </c>
      <c r="B81" t="s">
        <v>29</v>
      </c>
    </row>
    <row r="82" spans="1:2" x14ac:dyDescent="0.25">
      <c r="A82" t="s">
        <v>181</v>
      </c>
      <c r="B82" t="s">
        <v>29</v>
      </c>
    </row>
    <row r="83" spans="1:2" x14ac:dyDescent="0.25">
      <c r="A83" t="s">
        <v>203</v>
      </c>
      <c r="B83" t="s">
        <v>199</v>
      </c>
    </row>
    <row r="84" spans="1:2" x14ac:dyDescent="0.25">
      <c r="A84" t="s">
        <v>206</v>
      </c>
      <c r="B84" t="s">
        <v>199</v>
      </c>
    </row>
    <row r="85" spans="1:2" x14ac:dyDescent="0.25">
      <c r="A85" t="s">
        <v>205</v>
      </c>
      <c r="B85" t="s">
        <v>199</v>
      </c>
    </row>
    <row r="86" spans="1:2" x14ac:dyDescent="0.25">
      <c r="A86" t="s">
        <v>208</v>
      </c>
      <c r="B86" t="s">
        <v>199</v>
      </c>
    </row>
    <row r="87" spans="1:2" x14ac:dyDescent="0.25">
      <c r="A87" t="s">
        <v>217</v>
      </c>
      <c r="B87" t="s">
        <v>199</v>
      </c>
    </row>
    <row r="88" spans="1:2" x14ac:dyDescent="0.25">
      <c r="A88" t="s">
        <v>207</v>
      </c>
      <c r="B88" t="s">
        <v>199</v>
      </c>
    </row>
    <row r="89" spans="1:2" x14ac:dyDescent="0.25">
      <c r="A89" t="s">
        <v>209</v>
      </c>
      <c r="B89" t="s">
        <v>199</v>
      </c>
    </row>
    <row r="90" spans="1:2" x14ac:dyDescent="0.25">
      <c r="A90" t="s">
        <v>204</v>
      </c>
      <c r="B90" t="s">
        <v>199</v>
      </c>
    </row>
    <row r="91" spans="1:2" x14ac:dyDescent="0.25">
      <c r="A91" t="s">
        <v>81</v>
      </c>
      <c r="B91" t="s">
        <v>199</v>
      </c>
    </row>
    <row r="92" spans="1:2" x14ac:dyDescent="0.25">
      <c r="A92" t="s">
        <v>82</v>
      </c>
      <c r="B92" t="s">
        <v>94</v>
      </c>
    </row>
    <row r="93" spans="1:2" x14ac:dyDescent="0.25">
      <c r="A93" t="s">
        <v>210</v>
      </c>
      <c r="B93" t="s">
        <v>199</v>
      </c>
    </row>
    <row r="94" spans="1:2" x14ac:dyDescent="0.25">
      <c r="A94" t="s">
        <v>211</v>
      </c>
      <c r="B94" t="s">
        <v>199</v>
      </c>
    </row>
    <row r="95" spans="1:2" x14ac:dyDescent="0.25">
      <c r="A95" t="s">
        <v>212</v>
      </c>
      <c r="B95" t="s">
        <v>199</v>
      </c>
    </row>
    <row r="96" spans="1:2" x14ac:dyDescent="0.25">
      <c r="A96" t="s">
        <v>213</v>
      </c>
      <c r="B96" t="s">
        <v>199</v>
      </c>
    </row>
    <row r="97" spans="1:2" x14ac:dyDescent="0.25">
      <c r="A97" t="s">
        <v>214</v>
      </c>
      <c r="B97" t="s">
        <v>199</v>
      </c>
    </row>
    <row r="98" spans="1:2" x14ac:dyDescent="0.25">
      <c r="A98" t="s">
        <v>215</v>
      </c>
      <c r="B98" t="s">
        <v>199</v>
      </c>
    </row>
    <row r="99" spans="1:2" x14ac:dyDescent="0.25">
      <c r="A99" t="s">
        <v>216</v>
      </c>
      <c r="B99" t="s">
        <v>199</v>
      </c>
    </row>
    <row r="100" spans="1:2" x14ac:dyDescent="0.25">
      <c r="A100" t="s">
        <v>218</v>
      </c>
      <c r="B100" t="s">
        <v>219</v>
      </c>
    </row>
    <row r="101" spans="1:2" x14ac:dyDescent="0.25">
      <c r="A101" t="s">
        <v>159</v>
      </c>
      <c r="B101" t="s">
        <v>160</v>
      </c>
    </row>
    <row r="102" spans="1:2" x14ac:dyDescent="0.25">
      <c r="A102" t="s">
        <v>161</v>
      </c>
      <c r="B102" t="s">
        <v>160</v>
      </c>
    </row>
    <row r="103" spans="1:2" x14ac:dyDescent="0.25">
      <c r="A103" t="s">
        <v>162</v>
      </c>
      <c r="B103" t="s">
        <v>160</v>
      </c>
    </row>
    <row r="104" spans="1:2" x14ac:dyDescent="0.25">
      <c r="A104" t="s">
        <v>163</v>
      </c>
      <c r="B104" t="s">
        <v>160</v>
      </c>
    </row>
    <row r="105" spans="1:2" x14ac:dyDescent="0.25">
      <c r="A105" t="s">
        <v>164</v>
      </c>
      <c r="B105" t="s">
        <v>166</v>
      </c>
    </row>
    <row r="106" spans="1:2" x14ac:dyDescent="0.25">
      <c r="A106" t="s">
        <v>165</v>
      </c>
      <c r="B106" t="s">
        <v>160</v>
      </c>
    </row>
    <row r="107" spans="1:2" x14ac:dyDescent="0.25">
      <c r="A107" t="s">
        <v>140</v>
      </c>
      <c r="B107" t="s">
        <v>132</v>
      </c>
    </row>
    <row r="108" spans="1:2" x14ac:dyDescent="0.25">
      <c r="A108" t="s">
        <v>141</v>
      </c>
      <c r="B108" t="s">
        <v>132</v>
      </c>
    </row>
    <row r="109" spans="1:2" x14ac:dyDescent="0.25">
      <c r="A109" t="s">
        <v>142</v>
      </c>
      <c r="B109" t="s">
        <v>132</v>
      </c>
    </row>
    <row r="110" spans="1:2" x14ac:dyDescent="0.25">
      <c r="A110" t="s">
        <v>255</v>
      </c>
      <c r="B110" t="s">
        <v>256</v>
      </c>
    </row>
    <row r="111" spans="1:2" x14ac:dyDescent="0.25">
      <c r="A111" t="s">
        <v>257</v>
      </c>
      <c r="B111" t="s">
        <v>256</v>
      </c>
    </row>
    <row r="112" spans="1:2" x14ac:dyDescent="0.25">
      <c r="A112" t="s">
        <v>258</v>
      </c>
      <c r="B112" t="s">
        <v>256</v>
      </c>
    </row>
    <row r="113" spans="1:2" x14ac:dyDescent="0.25">
      <c r="A113" t="s">
        <v>259</v>
      </c>
      <c r="B113" t="s">
        <v>256</v>
      </c>
    </row>
    <row r="114" spans="1:2" x14ac:dyDescent="0.25">
      <c r="A114" t="s">
        <v>260</v>
      </c>
      <c r="B114" t="s">
        <v>256</v>
      </c>
    </row>
    <row r="115" spans="1:2" x14ac:dyDescent="0.25">
      <c r="A115" t="s">
        <v>152</v>
      </c>
      <c r="B115" t="s">
        <v>69</v>
      </c>
    </row>
    <row r="116" spans="1:2" x14ac:dyDescent="0.25">
      <c r="A116" t="s">
        <v>153</v>
      </c>
      <c r="B116" t="s">
        <v>69</v>
      </c>
    </row>
    <row r="117" spans="1:2" x14ac:dyDescent="0.25">
      <c r="A117" t="s">
        <v>154</v>
      </c>
      <c r="B117" t="s">
        <v>69</v>
      </c>
    </row>
    <row r="118" spans="1:2" x14ac:dyDescent="0.25">
      <c r="A118" t="s">
        <v>155</v>
      </c>
      <c r="B118" t="s">
        <v>69</v>
      </c>
    </row>
    <row r="119" spans="1:2" x14ac:dyDescent="0.25">
      <c r="A119" t="s">
        <v>156</v>
      </c>
      <c r="B119" t="s">
        <v>69</v>
      </c>
    </row>
    <row r="120" spans="1:2" x14ac:dyDescent="0.25">
      <c r="A120" t="s">
        <v>157</v>
      </c>
      <c r="B120" t="s">
        <v>69</v>
      </c>
    </row>
    <row r="121" spans="1:2" x14ac:dyDescent="0.25">
      <c r="A121" t="s">
        <v>149</v>
      </c>
      <c r="B121" t="s">
        <v>144</v>
      </c>
    </row>
    <row r="122" spans="1:2" x14ac:dyDescent="0.25">
      <c r="A122" t="s">
        <v>179</v>
      </c>
      <c r="B122" t="s">
        <v>174</v>
      </c>
    </row>
    <row r="123" spans="1:2" x14ac:dyDescent="0.25">
      <c r="A123" t="s">
        <v>90</v>
      </c>
      <c r="B123" t="s">
        <v>113</v>
      </c>
    </row>
    <row r="124" spans="1:2" x14ac:dyDescent="0.25">
      <c r="A124" t="s">
        <v>91</v>
      </c>
      <c r="B124" t="s">
        <v>137</v>
      </c>
    </row>
    <row r="125" spans="1:2" x14ac:dyDescent="0.25">
      <c r="A125" t="s">
        <v>114</v>
      </c>
      <c r="B125" t="s">
        <v>113</v>
      </c>
    </row>
    <row r="126" spans="1:2" x14ac:dyDescent="0.25">
      <c r="A126" t="s">
        <v>115</v>
      </c>
      <c r="B126" t="s">
        <v>113</v>
      </c>
    </row>
    <row r="127" spans="1:2" x14ac:dyDescent="0.25">
      <c r="A127" t="s">
        <v>116</v>
      </c>
      <c r="B127" t="s">
        <v>171</v>
      </c>
    </row>
    <row r="128" spans="1:2" x14ac:dyDescent="0.25">
      <c r="A128" t="s">
        <v>117</v>
      </c>
      <c r="B128" t="s">
        <v>171</v>
      </c>
    </row>
    <row r="129" spans="1:2" x14ac:dyDescent="0.25">
      <c r="A129" t="s">
        <v>118</v>
      </c>
      <c r="B129" t="s">
        <v>171</v>
      </c>
    </row>
    <row r="130" spans="1:2" x14ac:dyDescent="0.25">
      <c r="A130" t="s">
        <v>119</v>
      </c>
      <c r="B130" t="s">
        <v>113</v>
      </c>
    </row>
    <row r="131" spans="1:2" x14ac:dyDescent="0.25">
      <c r="A131" t="s">
        <v>120</v>
      </c>
      <c r="B131" t="s">
        <v>137</v>
      </c>
    </row>
    <row r="132" spans="1:2" x14ac:dyDescent="0.25">
      <c r="A132" t="s">
        <v>121</v>
      </c>
      <c r="B132" t="s">
        <v>137</v>
      </c>
    </row>
    <row r="133" spans="1:2" x14ac:dyDescent="0.25">
      <c r="A133" t="s">
        <v>138</v>
      </c>
      <c r="B133" t="s">
        <v>147</v>
      </c>
    </row>
    <row r="134" spans="1:2" x14ac:dyDescent="0.25">
      <c r="A134" t="s">
        <v>126</v>
      </c>
      <c r="B134" t="s">
        <v>113</v>
      </c>
    </row>
    <row r="135" spans="1:2" x14ac:dyDescent="0.25">
      <c r="A135" t="s">
        <v>148</v>
      </c>
      <c r="B135" t="s">
        <v>144</v>
      </c>
    </row>
    <row r="136" spans="1:2" x14ac:dyDescent="0.25">
      <c r="A136" t="s">
        <v>139</v>
      </c>
      <c r="B136" t="s">
        <v>146</v>
      </c>
    </row>
    <row r="137" spans="1:2" x14ac:dyDescent="0.25">
      <c r="A137" t="s">
        <v>143</v>
      </c>
      <c r="B137" t="s">
        <v>144</v>
      </c>
    </row>
    <row r="138" spans="1:2" x14ac:dyDescent="0.25">
      <c r="A138" t="s">
        <v>145</v>
      </c>
      <c r="B138" t="s">
        <v>144</v>
      </c>
    </row>
    <row r="139" spans="1:2" x14ac:dyDescent="0.25">
      <c r="A139" t="s">
        <v>125</v>
      </c>
      <c r="B139" t="s">
        <v>302</v>
      </c>
    </row>
    <row r="140" spans="1:2" x14ac:dyDescent="0.25">
      <c r="A140" t="s">
        <v>122</v>
      </c>
      <c r="B140" t="s">
        <v>113</v>
      </c>
    </row>
    <row r="141" spans="1:2" x14ac:dyDescent="0.25">
      <c r="A141" t="s">
        <v>123</v>
      </c>
      <c r="B141" t="s">
        <v>113</v>
      </c>
    </row>
    <row r="142" spans="1:2" x14ac:dyDescent="0.25">
      <c r="A142" t="s">
        <v>124</v>
      </c>
      <c r="B142" t="s">
        <v>113</v>
      </c>
    </row>
    <row r="143" spans="1:2" x14ac:dyDescent="0.25">
      <c r="A143" t="s">
        <v>196</v>
      </c>
      <c r="B143" t="s">
        <v>200</v>
      </c>
    </row>
    <row r="144" spans="1:2" x14ac:dyDescent="0.25">
      <c r="A144" t="s">
        <v>201</v>
      </c>
      <c r="B144" t="s">
        <v>199</v>
      </c>
    </row>
    <row r="145" spans="1:4" x14ac:dyDescent="0.25">
      <c r="A145" t="s">
        <v>48</v>
      </c>
      <c r="B145" t="s">
        <v>197</v>
      </c>
    </row>
    <row r="146" spans="1:4" x14ac:dyDescent="0.25">
      <c r="A146" t="s">
        <v>198</v>
      </c>
      <c r="B146" t="s">
        <v>197</v>
      </c>
    </row>
    <row r="147" spans="1:4" x14ac:dyDescent="0.25">
      <c r="A147" t="s">
        <v>261</v>
      </c>
      <c r="B147" t="s">
        <v>262</v>
      </c>
    </row>
    <row r="148" spans="1:4" x14ac:dyDescent="0.25">
      <c r="A148" t="s">
        <v>239</v>
      </c>
      <c r="B148" t="s">
        <v>92</v>
      </c>
    </row>
    <row r="149" spans="1:4" x14ac:dyDescent="0.25">
      <c r="A149" t="s">
        <v>240</v>
      </c>
      <c r="B149" t="s">
        <v>92</v>
      </c>
    </row>
    <row r="150" spans="1:4" x14ac:dyDescent="0.25">
      <c r="A150" t="s">
        <v>241</v>
      </c>
      <c r="B150" t="s">
        <v>92</v>
      </c>
    </row>
    <row r="151" spans="1:4" x14ac:dyDescent="0.25">
      <c r="A151" t="s">
        <v>245</v>
      </c>
      <c r="B151" t="s">
        <v>246</v>
      </c>
    </row>
    <row r="152" spans="1:4" x14ac:dyDescent="0.25">
      <c r="A152" t="s">
        <v>83</v>
      </c>
      <c r="B152" t="s">
        <v>246</v>
      </c>
    </row>
    <row r="153" spans="1:4" x14ac:dyDescent="0.25">
      <c r="A153" t="s">
        <v>247</v>
      </c>
      <c r="B153" t="s">
        <v>246</v>
      </c>
    </row>
    <row r="154" spans="1:4" x14ac:dyDescent="0.25">
      <c r="A154" t="s">
        <v>158</v>
      </c>
      <c r="B154" t="s">
        <v>248</v>
      </c>
    </row>
    <row r="155" spans="1:4" x14ac:dyDescent="0.25">
      <c r="A155" t="s">
        <v>249</v>
      </c>
      <c r="B155" t="s">
        <v>246</v>
      </c>
    </row>
    <row r="156" spans="1:4" x14ac:dyDescent="0.25">
      <c r="A156" t="s">
        <v>252</v>
      </c>
      <c r="B156" t="s">
        <v>246</v>
      </c>
    </row>
    <row r="157" spans="1:4" x14ac:dyDescent="0.25">
      <c r="A157" t="s">
        <v>253</v>
      </c>
      <c r="B157" t="s">
        <v>246</v>
      </c>
    </row>
    <row r="158" spans="1:4" x14ac:dyDescent="0.25">
      <c r="A158" t="s">
        <v>250</v>
      </c>
      <c r="B158" t="s">
        <v>246</v>
      </c>
      <c r="D158" t="s">
        <v>251</v>
      </c>
    </row>
    <row r="159" spans="1:4" x14ac:dyDescent="0.25">
      <c r="A159" t="s">
        <v>80</v>
      </c>
      <c r="B159" t="s">
        <v>316</v>
      </c>
    </row>
    <row r="160" spans="1:4" x14ac:dyDescent="0.25">
      <c r="A160" t="s">
        <v>228</v>
      </c>
      <c r="B160" t="s">
        <v>88</v>
      </c>
    </row>
    <row r="161" spans="1:4" x14ac:dyDescent="0.25">
      <c r="A161" t="s">
        <v>229</v>
      </c>
      <c r="B161" t="s">
        <v>88</v>
      </c>
    </row>
    <row r="162" spans="1:4" x14ac:dyDescent="0.25">
      <c r="A162" t="s">
        <v>230</v>
      </c>
      <c r="B162" t="s">
        <v>88</v>
      </c>
    </row>
    <row r="163" spans="1:4" x14ac:dyDescent="0.25">
      <c r="A163" t="s">
        <v>231</v>
      </c>
      <c r="B163" t="s">
        <v>88</v>
      </c>
    </row>
    <row r="164" spans="1:4" x14ac:dyDescent="0.25">
      <c r="A164" t="s">
        <v>232</v>
      </c>
      <c r="B164" t="s">
        <v>88</v>
      </c>
    </row>
    <row r="165" spans="1:4" x14ac:dyDescent="0.25">
      <c r="A165" t="s">
        <v>233</v>
      </c>
      <c r="B165" t="s">
        <v>88</v>
      </c>
    </row>
    <row r="166" spans="1:4" x14ac:dyDescent="0.25">
      <c r="A166" t="s">
        <v>234</v>
      </c>
      <c r="B166" t="s">
        <v>88</v>
      </c>
    </row>
    <row r="167" spans="1:4" x14ac:dyDescent="0.25">
      <c r="A167" t="s">
        <v>235</v>
      </c>
      <c r="B167" t="s">
        <v>88</v>
      </c>
    </row>
    <row r="168" spans="1:4" x14ac:dyDescent="0.25">
      <c r="A168" t="s">
        <v>194</v>
      </c>
      <c r="B168" t="s">
        <v>195</v>
      </c>
    </row>
    <row r="169" spans="1:4" x14ac:dyDescent="0.25">
      <c r="A169" t="s">
        <v>242</v>
      </c>
      <c r="B169" t="s">
        <v>92</v>
      </c>
    </row>
    <row r="170" spans="1:4" x14ac:dyDescent="0.25">
      <c r="A170" t="s">
        <v>243</v>
      </c>
      <c r="B170" t="s">
        <v>92</v>
      </c>
    </row>
    <row r="171" spans="1:4" x14ac:dyDescent="0.25">
      <c r="A171" t="s">
        <v>244</v>
      </c>
      <c r="B171" t="s">
        <v>92</v>
      </c>
    </row>
    <row r="172" spans="1:4" x14ac:dyDescent="0.25">
      <c r="A172" t="s">
        <v>129</v>
      </c>
      <c r="B172" t="s">
        <v>109</v>
      </c>
    </row>
    <row r="173" spans="1:4" x14ac:dyDescent="0.25">
      <c r="A173" t="s">
        <v>130</v>
      </c>
      <c r="B173" t="s">
        <v>109</v>
      </c>
    </row>
    <row r="174" spans="1:4" x14ac:dyDescent="0.25">
      <c r="A174" t="s">
        <v>320</v>
      </c>
      <c r="B174" t="s">
        <v>183</v>
      </c>
      <c r="D174" t="s">
        <v>319</v>
      </c>
    </row>
    <row r="175" spans="1:4" x14ac:dyDescent="0.25">
      <c r="A175" t="s">
        <v>321</v>
      </c>
      <c r="B175" t="s">
        <v>183</v>
      </c>
      <c r="D175" t="s">
        <v>319</v>
      </c>
    </row>
    <row r="176" spans="1:4" x14ac:dyDescent="0.25">
      <c r="A176" t="s">
        <v>322</v>
      </c>
      <c r="B176" t="s">
        <v>183</v>
      </c>
      <c r="D176" t="s">
        <v>319</v>
      </c>
    </row>
    <row r="177" spans="1:4" x14ac:dyDescent="0.25">
      <c r="A177" t="s">
        <v>323</v>
      </c>
      <c r="B177" t="s">
        <v>183</v>
      </c>
      <c r="D177" t="s">
        <v>319</v>
      </c>
    </row>
    <row r="178" spans="1:4" x14ac:dyDescent="0.25">
      <c r="A178" t="s">
        <v>254</v>
      </c>
      <c r="B178" t="s">
        <v>246</v>
      </c>
    </row>
  </sheetData>
  <sortState xmlns:xlrd2="http://schemas.microsoft.com/office/spreadsheetml/2017/richdata2" ref="A2:D178">
    <sortCondition ref="A4:A17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60A9-DDA5-4E23-B1F0-7188DBFD5989}">
  <dimension ref="A1:D29"/>
  <sheetViews>
    <sheetView workbookViewId="0">
      <selection sqref="A1:C1"/>
    </sheetView>
  </sheetViews>
  <sheetFormatPr defaultRowHeight="15" x14ac:dyDescent="0.25"/>
  <cols>
    <col min="1" max="1" width="6.140625" customWidth="1"/>
    <col min="2" max="2" width="39.42578125" customWidth="1"/>
    <col min="3" max="3" width="103" customWidth="1"/>
  </cols>
  <sheetData>
    <row r="1" spans="1:4" x14ac:dyDescent="0.25">
      <c r="A1" s="9" t="s">
        <v>348</v>
      </c>
      <c r="B1" s="9" t="s">
        <v>324</v>
      </c>
      <c r="C1" s="9" t="s">
        <v>349</v>
      </c>
      <c r="D1" s="1"/>
    </row>
    <row r="2" spans="1:4" x14ac:dyDescent="0.25">
      <c r="A2">
        <v>2</v>
      </c>
      <c r="B2" t="s">
        <v>101</v>
      </c>
      <c r="C2" t="str">
        <f>IF(Logic!O38="Yes","Triggered for risk of delinquent behavior",IF(Logic!P38="Yes","Not triggered",0))</f>
        <v>Not triggered</v>
      </c>
      <c r="D2" s="1"/>
    </row>
    <row r="3" spans="1:4" x14ac:dyDescent="0.25">
      <c r="A3">
        <v>3</v>
      </c>
      <c r="B3" t="s">
        <v>102</v>
      </c>
      <c r="C3" t="str">
        <f>IF(Logic!M6="Yes","Triggered for immediate intervention",IF(Logic!N6="Yes","Triggered for prevention",IF(Logic!O6="Yes","Not triggered",0)))</f>
        <v>Not triggered</v>
      </c>
      <c r="D3" s="1"/>
    </row>
    <row r="4" spans="1:4" x14ac:dyDescent="0.25">
      <c r="A4">
        <v>4</v>
      </c>
      <c r="B4" t="s">
        <v>103</v>
      </c>
      <c r="C4" t="str">
        <f>IF(Logic!N40="Yes","Triggered at high risk",IF(Logic!O40="Yes","Triggered at moderate risk",IF(Logic!P40="Yes","Triggered at low risk",IF(Logic!Q40="Yes","Not triggered",0))))</f>
        <v>Not triggered</v>
      </c>
      <c r="D4" s="1"/>
    </row>
    <row r="5" spans="1:4" x14ac:dyDescent="0.25">
      <c r="A5">
        <v>5</v>
      </c>
      <c r="B5" t="s">
        <v>104</v>
      </c>
      <c r="C5" t="str">
        <f>IF(Logic!N44="Yes","Triggered for sexual behavior",IF(Logic!O44="Yes","Not triggered",0))</f>
        <v>Not triggered</v>
      </c>
      <c r="D5" s="1"/>
    </row>
    <row r="6" spans="1:4" x14ac:dyDescent="0.25">
      <c r="A6">
        <v>6</v>
      </c>
      <c r="B6" t="s">
        <v>63</v>
      </c>
      <c r="C6" t="str">
        <f>IF(Logic!M16="Yes","Triggered due to high risk of harm to self",IF(Logic!N16="Yes","Triggered due to moderate risk of harm to self",IF(Logic!O16="Yes","Not triggered, but use clinical judgment if elevated risk is suspected",0)))</f>
        <v>Not triggered, but use clinical judgment if elevated risk is suspected</v>
      </c>
      <c r="D6" s="1"/>
    </row>
    <row r="7" spans="1:4" x14ac:dyDescent="0.25">
      <c r="A7">
        <v>7</v>
      </c>
      <c r="B7" t="s">
        <v>71</v>
      </c>
      <c r="C7" t="str">
        <f>IF(Logic!N36="Yes","Triggered to address immediate safety concerns",IF(Logic!O36 ="Yes","Triggered to reduce the impact of prior traumatic life events",IF(Logic!P36="Yes","Not triggered",0)))</f>
        <v>Not triggered</v>
      </c>
      <c r="D7" s="1"/>
    </row>
    <row r="8" spans="1:4" x14ac:dyDescent="0.25">
      <c r="A8">
        <v>8</v>
      </c>
      <c r="B8" t="s">
        <v>306</v>
      </c>
      <c r="C8" t="str">
        <f>IF(Logic!N48="Yes","Triggered for attachment",IF(Logic!O48="Yes","Not triggered",0))</f>
        <v>Not triggered</v>
      </c>
      <c r="D8" s="1"/>
    </row>
    <row r="9" spans="1:4" x14ac:dyDescent="0.25">
      <c r="A9">
        <v>9</v>
      </c>
      <c r="B9" t="s">
        <v>307</v>
      </c>
      <c r="C9" t="str">
        <f>IF(Logic!N50="Yes","Triggered for caregiver distress",IF(Logic!O50="Yes","Not triggered",0))</f>
        <v>Not triggered</v>
      </c>
      <c r="D9" s="1"/>
    </row>
    <row r="10" spans="1:4" x14ac:dyDescent="0.25">
      <c r="A10">
        <v>10</v>
      </c>
      <c r="B10" t="s">
        <v>68</v>
      </c>
      <c r="C10" t="str">
        <f>IF(Logic!N28="Yes","Triggered to reduce widespread conflict",IF(Logic!O28 ="Yes","Triggered to reduce conflict in a specific domain",IF(Logic!P28="Yes","Not triggered",0)))</f>
        <v>Not triggered</v>
      </c>
      <c r="D10" s="1"/>
    </row>
    <row r="11" spans="1:4" x14ac:dyDescent="0.25">
      <c r="A11">
        <v>11</v>
      </c>
      <c r="B11" t="s">
        <v>308</v>
      </c>
      <c r="C11" t="str">
        <f>IF(Logic!N52="Yes","Triggered for parenting",IF(Logic!O52="Yes","Not triggered",0))</f>
        <v>Not triggered</v>
      </c>
      <c r="D11" s="1"/>
    </row>
    <row r="12" spans="1:4" x14ac:dyDescent="0.25">
      <c r="A12">
        <v>12</v>
      </c>
      <c r="B12" t="s">
        <v>309</v>
      </c>
      <c r="C12" t="str">
        <f>IF(Logic!N25="Yes","Triggered to reduce social withdrawal or isolation",IF(Logic!O25 ="Yes","Triggered to reduce maladaptive or antisocial peer interactions",IF(Logic!P25="Yes","Not triggered",0)))</f>
        <v>Triggered to reduce social withdrawal or isolation</v>
      </c>
      <c r="D12" s="1"/>
    </row>
    <row r="13" spans="1:4" x14ac:dyDescent="0.25">
      <c r="A13">
        <v>13</v>
      </c>
      <c r="B13" t="s">
        <v>313</v>
      </c>
      <c r="C13" t="str">
        <f>IF(Logic!N55="Yes","Triggered for communication",IF(Logic!O55="Yes","Not triggered",0))</f>
        <v>Not triggered</v>
      </c>
      <c r="D13" s="1"/>
    </row>
    <row r="14" spans="1:4" x14ac:dyDescent="0.25">
      <c r="A14">
        <v>14</v>
      </c>
      <c r="B14" t="s">
        <v>64</v>
      </c>
      <c r="C14" t="str">
        <f>IF(Logic!N57="Yes","Triggered for ADL assistance",IF(Logic!O57 ="Yes","Triggered for IADL assistance",IF(Logic!P57="Yes","Not triggered",0)))</f>
        <v>Not triggered</v>
      </c>
      <c r="D14" s="1"/>
    </row>
    <row r="15" spans="1:4" x14ac:dyDescent="0.25">
      <c r="A15">
        <v>15</v>
      </c>
      <c r="B15" t="s">
        <v>325</v>
      </c>
      <c r="C15" t="str">
        <f>IF(Logic!N62="Yes","Triggered for caffeine use",IF(Logic!O62="Yes","Not triggered",0))</f>
        <v>Not triggered</v>
      </c>
      <c r="D15" s="1"/>
    </row>
    <row r="16" spans="1:4" x14ac:dyDescent="0.25">
      <c r="A16">
        <v>16</v>
      </c>
      <c r="B16" t="s">
        <v>326</v>
      </c>
      <c r="C16" t="str">
        <f>IF(Logic!N64="Yes","Triggered for gambling",IF(Logic!O64="Yes","Not triggered",0))</f>
        <v>Not triggered</v>
      </c>
      <c r="D16" s="1"/>
    </row>
    <row r="17" spans="1:4" x14ac:dyDescent="0.25">
      <c r="A17">
        <v>17</v>
      </c>
      <c r="B17" t="s">
        <v>327</v>
      </c>
      <c r="C17" t="str">
        <f>IF(Logic!N66="Yes","Triggered for medication adherence assistance",IF(Logic!O66="Yes","Not triggered",0))</f>
        <v>Triggered for medication adherence assistance</v>
      </c>
    </row>
    <row r="18" spans="1:4" x14ac:dyDescent="0.25">
      <c r="A18">
        <v>18</v>
      </c>
      <c r="B18" t="s">
        <v>328</v>
      </c>
      <c r="C18" t="str">
        <f>IF(Logic!N70="Yes","Triggered for medication review",IF(Logic!O70="Yes","Not triggered",0))</f>
        <v>Not triggered</v>
      </c>
    </row>
    <row r="19" spans="1:4" x14ac:dyDescent="0.25">
      <c r="A19">
        <v>19</v>
      </c>
      <c r="B19" t="s">
        <v>329</v>
      </c>
      <c r="C19" t="str">
        <f>IF(Logic!N72="Yes","Triggered for physical activity",IF(Logic!O72="Yes","Not triggered",0))</f>
        <v>Triggered for physical activity</v>
      </c>
    </row>
    <row r="20" spans="1:4" x14ac:dyDescent="0.25">
      <c r="A20">
        <v>20</v>
      </c>
      <c r="B20" t="s">
        <v>86</v>
      </c>
      <c r="C20" t="str">
        <f>IF(Logic!N74="Yes","Triggered for sleep disturbance",IF(Logic!O74="Yes","Not triggered",0))</f>
        <v>Not triggered</v>
      </c>
    </row>
    <row r="21" spans="1:4" x14ac:dyDescent="0.25">
      <c r="A21">
        <v>21</v>
      </c>
      <c r="B21" t="s">
        <v>330</v>
      </c>
      <c r="C21" t="str">
        <f>IF(Logic!N76="Yes","Triggered for strengths improvement",IF(Logic!O76="Yes","Not triggered",0))</f>
        <v>Not triggered</v>
      </c>
    </row>
    <row r="22" spans="1:4" x14ac:dyDescent="0.25">
      <c r="A22">
        <v>22</v>
      </c>
      <c r="B22" t="s">
        <v>84</v>
      </c>
      <c r="C22" t="str">
        <f>IF(Logic!N78="Yes","Triggered for substance use",IF(Logic!O78="Yes","Not triggered",0))</f>
        <v>Not triggered</v>
      </c>
    </row>
    <row r="23" spans="1:4" x14ac:dyDescent="0.25">
      <c r="A23">
        <v>23</v>
      </c>
      <c r="B23" t="s">
        <v>331</v>
      </c>
      <c r="C23" t="str">
        <f>IF(Logic!N80="Yes","Triggered to prevent long-term tobacco use",IF(Logic!O80 ="Yes","Triggered to reduce or cease daily tobacco use",IF(Logic!P80="Yes","Not triggered",0)))</f>
        <v>Not triggered</v>
      </c>
    </row>
    <row r="24" spans="1:4" x14ac:dyDescent="0.25">
      <c r="A24">
        <v>24</v>
      </c>
      <c r="B24" t="s">
        <v>335</v>
      </c>
      <c r="C24" t="str">
        <f>IF(Logic!N83="Yes","Triggered due to moderate disruption",IF(Logic!O83 ="Yes","Triggered due to severe disruption",IF(Logic!P83="Yes","Not triggered",0)))</f>
        <v>Not triggered</v>
      </c>
    </row>
    <row r="25" spans="1:4" x14ac:dyDescent="0.25">
      <c r="A25">
        <v>25</v>
      </c>
      <c r="B25" t="s">
        <v>85</v>
      </c>
      <c r="C25" t="str">
        <f>IF(Logic!N85="Yes","Triggered for weight concerns",IF(Logic!O85 ="Yes","Triggered due to problematic eating behavior",IF(Logic!P85="Yes","Not triggered",0)))</f>
        <v>Not triggered</v>
      </c>
    </row>
    <row r="26" spans="1:4" x14ac:dyDescent="0.25">
      <c r="A26">
        <v>26</v>
      </c>
      <c r="B26" t="s">
        <v>341</v>
      </c>
      <c r="C26" t="str">
        <f>IF(Logic!N88="Yes","Triggered due to risk of dropping out of school",IF(Logic!O88="Yes","Triggered due to disrupted education",IF(Logic!P88="Yes","Not triggered",0)))</f>
        <v>Not triggered</v>
      </c>
    </row>
    <row r="27" spans="1:4" x14ac:dyDescent="0.25">
      <c r="A27">
        <v>27</v>
      </c>
      <c r="B27" t="s">
        <v>67</v>
      </c>
      <c r="C27" t="str">
        <f>IF(Logic!N91="Yes","Triggered for informal support",IF(Logic!O91="Yes","Not triggered",0))</f>
        <v>Not triggered</v>
      </c>
      <c r="D27" s="1"/>
    </row>
    <row r="28" spans="1:4" x14ac:dyDescent="0.25">
      <c r="A28">
        <v>30</v>
      </c>
      <c r="B28" t="s">
        <v>342</v>
      </c>
      <c r="C28" t="str">
        <f>IF(Logic!N93="Yes","Triggered for transition planning",IF(Logic!O93="Yes","Not triggered",0))</f>
        <v>Not triggered</v>
      </c>
      <c r="D28" s="1"/>
    </row>
    <row r="29" spans="1:4" x14ac:dyDescent="0.25">
      <c r="D29" s="1"/>
    </row>
  </sheetData>
  <sheetProtection password="BD4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7E27-472A-4F75-95F2-BBFAECC115CD}">
  <dimension ref="A1:U130"/>
  <sheetViews>
    <sheetView workbookViewId="0">
      <pane ySplit="1" topLeftCell="A83" activePane="bottomLeft" state="frozen"/>
      <selection pane="bottomLeft" activeCell="E94" sqref="E94"/>
    </sheetView>
  </sheetViews>
  <sheetFormatPr defaultRowHeight="15" x14ac:dyDescent="0.25"/>
  <cols>
    <col min="1" max="1" width="24.28515625" customWidth="1"/>
    <col min="14" max="14" width="12.42578125" customWidth="1"/>
    <col min="15" max="15" width="13" customWidth="1"/>
    <col min="16" max="16" width="13.42578125" customWidth="1"/>
    <col min="17" max="17" width="13.140625" customWidth="1"/>
    <col min="18" max="18" width="11.5703125" customWidth="1"/>
  </cols>
  <sheetData>
    <row r="1" spans="1:16" x14ac:dyDescent="0.25">
      <c r="A1" t="s">
        <v>27</v>
      </c>
      <c r="B1" t="s">
        <v>1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  <c r="O1" t="s">
        <v>46</v>
      </c>
    </row>
    <row r="2" spans="1:16" x14ac:dyDescent="0.25">
      <c r="A2" t="s">
        <v>28</v>
      </c>
      <c r="B2">
        <f>SUM(C2:O2)</f>
        <v>0</v>
      </c>
      <c r="C2">
        <f>+'Record Scores'!C55</f>
        <v>0</v>
      </c>
      <c r="D2">
        <f>'Record Scores'!C56</f>
        <v>0</v>
      </c>
      <c r="E2">
        <f>'Record Scores'!C57</f>
        <v>0</v>
      </c>
      <c r="F2">
        <f>'Record Scores'!C58</f>
        <v>0</v>
      </c>
    </row>
    <row r="3" spans="1:16" x14ac:dyDescent="0.25">
      <c r="A3" t="s">
        <v>30</v>
      </c>
      <c r="B3">
        <f t="shared" ref="B3:B4" si="0">SUM(C3:O3)</f>
        <v>0</v>
      </c>
      <c r="C3">
        <f>'Record Scores'!C10</f>
        <v>0</v>
      </c>
      <c r="D3">
        <f>'Record Scores'!C11</f>
        <v>0</v>
      </c>
      <c r="E3">
        <f>'Record Scores'!C12</f>
        <v>0</v>
      </c>
      <c r="F3">
        <f>'Record Scores'!C13</f>
        <v>0</v>
      </c>
      <c r="G3">
        <f>'Record Scores'!C14</f>
        <v>0</v>
      </c>
      <c r="H3">
        <f>'Record Scores'!C15</f>
        <v>0</v>
      </c>
      <c r="I3">
        <f>'Record Scores'!C17</f>
        <v>0</v>
      </c>
      <c r="J3">
        <f>'Record Scores'!C32</f>
        <v>0</v>
      </c>
      <c r="K3">
        <f>'Record Scores'!C33</f>
        <v>0</v>
      </c>
    </row>
    <row r="4" spans="1:16" x14ac:dyDescent="0.25">
      <c r="A4" t="s">
        <v>31</v>
      </c>
      <c r="B4">
        <f t="shared" si="0"/>
        <v>0</v>
      </c>
      <c r="C4">
        <f>'Record Scores'!C16</f>
        <v>0</v>
      </c>
      <c r="D4">
        <f>'Record Scores'!C18</f>
        <v>0</v>
      </c>
      <c r="E4">
        <f>'Record Scores'!C27</f>
        <v>0</v>
      </c>
      <c r="F4">
        <f>'Record Scores'!C28</f>
        <v>0</v>
      </c>
      <c r="G4">
        <f>'Record Scores'!C29</f>
        <v>0</v>
      </c>
      <c r="H4">
        <f>'Record Scores'!C30</f>
        <v>0</v>
      </c>
      <c r="I4">
        <f>'Record Scores'!C34</f>
        <v>0</v>
      </c>
      <c r="M4" t="s">
        <v>290</v>
      </c>
    </row>
    <row r="5" spans="1:16" x14ac:dyDescent="0.25">
      <c r="A5" t="s">
        <v>32</v>
      </c>
      <c r="B5">
        <f>MAX(B10:B12)</f>
        <v>0</v>
      </c>
      <c r="C5">
        <f>'Record Scores'!C52</f>
        <v>0</v>
      </c>
      <c r="D5">
        <f>'Record Scores'!C50</f>
        <v>0</v>
      </c>
      <c r="E5">
        <f>'Record Scores'!C51</f>
        <v>0</v>
      </c>
      <c r="F5">
        <f>'Record Scores'!C54</f>
        <v>0</v>
      </c>
      <c r="G5">
        <f>'Record Scores'!C27</f>
        <v>0</v>
      </c>
      <c r="H5">
        <f>'Record Scores'!C28</f>
        <v>0</v>
      </c>
      <c r="I5">
        <f>'Record Scores'!C29</f>
        <v>0</v>
      </c>
      <c r="J5">
        <f>'Record Scores'!C30</f>
        <v>0</v>
      </c>
      <c r="K5">
        <f>'Record Scores'!C9</f>
        <v>0</v>
      </c>
      <c r="M5" s="6" t="s">
        <v>291</v>
      </c>
      <c r="N5" s="6" t="s">
        <v>292</v>
      </c>
      <c r="O5" s="6" t="s">
        <v>62</v>
      </c>
    </row>
    <row r="6" spans="1:16" x14ac:dyDescent="0.25">
      <c r="A6" s="2" t="s">
        <v>50</v>
      </c>
      <c r="K6">
        <f>IF(B5&lt;3,0,IF(B5&gt;4,1,IF(B5&gt;2,IF(K5&gt;1,1,0))))</f>
        <v>0</v>
      </c>
      <c r="M6" s="6" t="str">
        <f>IF(K6=1,"Yes","No")</f>
        <v>No</v>
      </c>
      <c r="N6" s="6" t="str">
        <f>IF(K7=1,"Yes","No")</f>
        <v>No</v>
      </c>
      <c r="O6" s="6" t="str">
        <f>IF(M6="Yes","No",IF(N6="Yes","No","Yes"))</f>
        <v>Yes</v>
      </c>
    </row>
    <row r="7" spans="1:16" x14ac:dyDescent="0.25">
      <c r="A7" s="2" t="s">
        <v>264</v>
      </c>
      <c r="B7">
        <f>IF(C5&lt;2,1,0)</f>
        <v>1</v>
      </c>
      <c r="K7">
        <f>IF(B5&lt;3,0,IF(B5&gt;4,0,IF(B5&gt;2,IF(K5&lt;2,1,0))))</f>
        <v>0</v>
      </c>
    </row>
    <row r="8" spans="1:16" x14ac:dyDescent="0.25">
      <c r="A8" s="2" t="s">
        <v>266</v>
      </c>
      <c r="B8">
        <f>IF(C5&gt;3,1,0)</f>
        <v>0</v>
      </c>
    </row>
    <row r="9" spans="1:16" x14ac:dyDescent="0.25">
      <c r="A9" s="2" t="s">
        <v>265</v>
      </c>
      <c r="B9">
        <f>IF(C5&lt;2,0,IF(C5&gt;3,0,1))</f>
        <v>0</v>
      </c>
      <c r="D9" t="s">
        <v>267</v>
      </c>
      <c r="H9" s="3" t="s">
        <v>273</v>
      </c>
      <c r="M9" t="s">
        <v>274</v>
      </c>
      <c r="N9" t="s">
        <v>275</v>
      </c>
      <c r="O9" t="s">
        <v>276</v>
      </c>
      <c r="P9" t="s">
        <v>277</v>
      </c>
    </row>
    <row r="10" spans="1:16" x14ac:dyDescent="0.25">
      <c r="A10" s="2" t="s">
        <v>272</v>
      </c>
      <c r="B10">
        <f>IF(B7=0,0,IF(M10=1,3,IF(N10=1,2,IF(O10=1,1,0))))</f>
        <v>0</v>
      </c>
      <c r="C10" t="s">
        <v>268</v>
      </c>
      <c r="D10">
        <f>IF(D5&gt;3,1,0)</f>
        <v>0</v>
      </c>
      <c r="E10">
        <f t="shared" ref="E10:F10" si="1">IF(E5&gt;3,1,0)</f>
        <v>0</v>
      </c>
      <c r="F10">
        <f t="shared" si="1"/>
        <v>0</v>
      </c>
      <c r="G10">
        <f>SUM(D10:F10)</f>
        <v>0</v>
      </c>
      <c r="H10">
        <f>IF(G5&gt;1,1,0)</f>
        <v>0</v>
      </c>
      <c r="I10">
        <f t="shared" ref="I10:K10" si="2">IF(H5&gt;1,1,0)</f>
        <v>0</v>
      </c>
      <c r="J10">
        <f t="shared" si="2"/>
        <v>0</v>
      </c>
      <c r="K10">
        <f t="shared" si="2"/>
        <v>0</v>
      </c>
      <c r="L10">
        <f>SUM(H10:K10)</f>
        <v>0</v>
      </c>
      <c r="M10">
        <f>IF(G10=0,0,IF(L10&gt;0,1,0))</f>
        <v>0</v>
      </c>
      <c r="N10">
        <f>IF(G10=0,0,IF(L10=0,1,0))</f>
        <v>0</v>
      </c>
      <c r="O10">
        <f>IF(G10&gt;0,0,IF(L10&gt;0,1,0))</f>
        <v>0</v>
      </c>
      <c r="P10">
        <f>IF(G10&gt;0,0,IF(L10=0,1,0))</f>
        <v>1</v>
      </c>
    </row>
    <row r="11" spans="1:16" x14ac:dyDescent="0.25">
      <c r="A11" s="2" t="s">
        <v>270</v>
      </c>
      <c r="B11">
        <f>IF(B9=0,0,IF(G10&gt;0,6,IF(O10=1,5,4)))</f>
        <v>0</v>
      </c>
      <c r="C11" t="s">
        <v>269</v>
      </c>
      <c r="D11">
        <f>IF(D5&lt;4,1,0)</f>
        <v>1</v>
      </c>
      <c r="E11">
        <f t="shared" ref="E11:F11" si="3">IF(E5&lt;4,1,0)</f>
        <v>1</v>
      </c>
      <c r="F11">
        <f t="shared" si="3"/>
        <v>1</v>
      </c>
      <c r="G11" s="5"/>
      <c r="H11">
        <f>IF(G5&lt;2,1,0)</f>
        <v>1</v>
      </c>
      <c r="I11">
        <f t="shared" ref="I11:K11" si="4">IF(H5&lt;2,1,0)</f>
        <v>1</v>
      </c>
      <c r="J11">
        <f t="shared" si="4"/>
        <v>1</v>
      </c>
      <c r="K11">
        <f t="shared" si="4"/>
        <v>1</v>
      </c>
    </row>
    <row r="12" spans="1:16" x14ac:dyDescent="0.25">
      <c r="A12" s="2" t="s">
        <v>271</v>
      </c>
      <c r="B12">
        <f>IF(B8=0,0,IF(B8=1,6))</f>
        <v>0</v>
      </c>
      <c r="E12" s="3"/>
    </row>
    <row r="13" spans="1:16" x14ac:dyDescent="0.25">
      <c r="A13" s="2"/>
    </row>
    <row r="14" spans="1:16" x14ac:dyDescent="0.25">
      <c r="A14" t="s">
        <v>33</v>
      </c>
      <c r="B14">
        <f>MAX(B19:B23)</f>
        <v>0</v>
      </c>
      <c r="C14">
        <f>+'Record Scores'!C46</f>
        <v>0</v>
      </c>
      <c r="D14">
        <f>+'Record Scores'!C47</f>
        <v>0</v>
      </c>
      <c r="E14">
        <f>+B3</f>
        <v>0</v>
      </c>
      <c r="F14">
        <f>'Record Scores'!C28</f>
        <v>0</v>
      </c>
      <c r="G14">
        <f>'Record Scores'!C48</f>
        <v>0</v>
      </c>
      <c r="J14">
        <f>'Record Scores'!C49</f>
        <v>0</v>
      </c>
      <c r="L14">
        <f>'Record Scores'!C9</f>
        <v>0</v>
      </c>
      <c r="M14" t="s">
        <v>299</v>
      </c>
    </row>
    <row r="15" spans="1:16" x14ac:dyDescent="0.25">
      <c r="A15" s="2" t="s">
        <v>279</v>
      </c>
      <c r="B15">
        <f>0</f>
        <v>0</v>
      </c>
      <c r="C15">
        <f>IF(C14=0,0,IF(C14&gt;4,"last 3",IF(C14=1,"31+",IF(C14=2,"31+","4-30 days"))))</f>
        <v>0</v>
      </c>
      <c r="D15" t="str">
        <f>IF(D14=0,"No","Yes")</f>
        <v>No</v>
      </c>
      <c r="E15" t="str">
        <f>IF(E14&lt;9,"&lt;9","9+")</f>
        <v>&lt;9</v>
      </c>
      <c r="F15">
        <f>IF(F14=0,0,"1+")</f>
        <v>0</v>
      </c>
      <c r="G15" t="str">
        <f>IF(G14=0,"No","Yes")</f>
        <v>No</v>
      </c>
      <c r="J15" t="str">
        <f>IF(J14=0,"No","Yes")</f>
        <v>No</v>
      </c>
      <c r="K15" t="str">
        <f>IF(E14&lt;6,"&lt;6","6+")</f>
        <v>&lt;6</v>
      </c>
      <c r="M15" s="6" t="s">
        <v>60</v>
      </c>
      <c r="N15" s="6" t="s">
        <v>61</v>
      </c>
      <c r="O15" s="6" t="s">
        <v>62</v>
      </c>
    </row>
    <row r="16" spans="1:16" x14ac:dyDescent="0.25">
      <c r="A16" s="2" t="s">
        <v>280</v>
      </c>
      <c r="B16">
        <f>IF(C15="last 3",1,0)</f>
        <v>0</v>
      </c>
      <c r="D16" t="s">
        <v>55</v>
      </c>
      <c r="E16" t="s">
        <v>58</v>
      </c>
      <c r="F16" t="s">
        <v>278</v>
      </c>
      <c r="G16" t="s">
        <v>54</v>
      </c>
      <c r="J16" t="s">
        <v>57</v>
      </c>
      <c r="K16" t="s">
        <v>59</v>
      </c>
      <c r="L16" t="s">
        <v>298</v>
      </c>
      <c r="M16" s="6" t="str">
        <f>IF(B14&gt;4,"Yes","No")</f>
        <v>No</v>
      </c>
      <c r="N16" s="6" t="str">
        <f>IF(B14=4,"Yes","No")</f>
        <v>No</v>
      </c>
      <c r="O16" s="6" t="str">
        <f>IF(M16="Yes","No",IF(N16="Yes","No","Yes"))</f>
        <v>Yes</v>
      </c>
    </row>
    <row r="17" spans="1:16" x14ac:dyDescent="0.25">
      <c r="A17" s="2" t="s">
        <v>281</v>
      </c>
      <c r="B17">
        <f>IF(C15="4-30 days",1,0)</f>
        <v>0</v>
      </c>
      <c r="M17">
        <f>IF(B14&lt;3,0,IF(B14&gt;4,1,IF(B14&gt;2,IF(L14&gt;1,1,0))))</f>
        <v>0</v>
      </c>
      <c r="N17">
        <f>IF(B14&lt;3,0,IF(B14&gt;4,0,IF(B14&gt;2,IF(L14&lt;2,1,0))))</f>
        <v>0</v>
      </c>
    </row>
    <row r="18" spans="1:16" x14ac:dyDescent="0.25">
      <c r="A18" s="2" t="s">
        <v>282</v>
      </c>
      <c r="B18">
        <f>IF(C15="31+",1,0)</f>
        <v>0</v>
      </c>
      <c r="F18" t="s">
        <v>288</v>
      </c>
      <c r="H18" t="s">
        <v>274</v>
      </c>
      <c r="I18" t="s">
        <v>275</v>
      </c>
      <c r="J18" t="s">
        <v>276</v>
      </c>
      <c r="K18" t="s">
        <v>277</v>
      </c>
    </row>
    <row r="19" spans="1:16" x14ac:dyDescent="0.25">
      <c r="A19" s="2" t="s">
        <v>283</v>
      </c>
      <c r="B19">
        <f>IF(B16=0,0,IF(D15="Yes",6,IF(J15="Yes",6,IF(E15="9+",5,IF(G15="Yes",4,IF(F15="1+",5,3))))))</f>
        <v>0</v>
      </c>
      <c r="H19">
        <f>IF(G15="No",0,IF(F15=0,0,1))</f>
        <v>0</v>
      </c>
      <c r="I19">
        <f>IF(G15="No",0,IF(F15=0,1,0))</f>
        <v>0</v>
      </c>
      <c r="J19">
        <f>IF(G15="Yes",0,IF(F15=0,0,1))</f>
        <v>0</v>
      </c>
      <c r="K19">
        <f>IF(G15="Yes",0,IF(F15=0,1,0))</f>
        <v>1</v>
      </c>
    </row>
    <row r="20" spans="1:16" x14ac:dyDescent="0.25">
      <c r="A20" s="2" t="s">
        <v>285</v>
      </c>
      <c r="B20">
        <f>IF(B17=0,0,IF(D15="Yes",4,3))</f>
        <v>0</v>
      </c>
      <c r="F20" s="6"/>
      <c r="G20" s="6"/>
      <c r="H20" s="6"/>
      <c r="I20" s="6"/>
      <c r="J20" s="6"/>
      <c r="K20" s="6"/>
    </row>
    <row r="21" spans="1:16" x14ac:dyDescent="0.25">
      <c r="A21" s="2" t="s">
        <v>284</v>
      </c>
      <c r="B21">
        <f>IF(B18=0,0,IF(D15="No",0,IF(K15="6+",4,IF(H19=1,5,IF(I19=1,3,IF(J19=1,4,IF(K19=1,3)))))))</f>
        <v>0</v>
      </c>
      <c r="F21" s="6"/>
      <c r="G21" s="6"/>
      <c r="H21" s="6"/>
      <c r="I21" s="6"/>
      <c r="J21" s="6"/>
      <c r="K21" s="6"/>
    </row>
    <row r="22" spans="1:16" x14ac:dyDescent="0.25">
      <c r="A22" s="2" t="s">
        <v>286</v>
      </c>
      <c r="B22">
        <f>IF(B18=0,0,IF(D15="Yes",0,IF(F15="1+",3,IF(G15="Yes",2,1))))</f>
        <v>0</v>
      </c>
    </row>
    <row r="23" spans="1:16" x14ac:dyDescent="0.25">
      <c r="A23" s="2" t="s">
        <v>287</v>
      </c>
      <c r="B23">
        <f>IF(B15=1,0,0)</f>
        <v>0</v>
      </c>
    </row>
    <row r="24" spans="1:16" s="6" customFormat="1" x14ac:dyDescent="0.25">
      <c r="A24" s="6" t="s">
        <v>310</v>
      </c>
      <c r="C24" s="6">
        <f>'Record Scores'!C40</f>
        <v>0</v>
      </c>
      <c r="D24" s="6">
        <f>'Record Scores'!C31</f>
        <v>0</v>
      </c>
      <c r="E24" s="6">
        <f>'Record Scores'!C33</f>
        <v>0</v>
      </c>
      <c r="F24" s="6">
        <f>'Record Scores'!C64</f>
        <v>0</v>
      </c>
      <c r="G24" s="6">
        <f>'Record Scores'!C67</f>
        <v>0</v>
      </c>
      <c r="H24" s="6">
        <f>'Record Scores'!C130</f>
        <v>0</v>
      </c>
      <c r="I24" s="6">
        <f>'Record Scores'!C68</f>
        <v>0</v>
      </c>
      <c r="K24" s="6">
        <f>'Record Scores'!C63</f>
        <v>0</v>
      </c>
      <c r="L24" s="6">
        <f>'Record Scores'!C122</f>
        <v>0</v>
      </c>
      <c r="N24" s="6" t="s">
        <v>65</v>
      </c>
      <c r="O24" s="6" t="s">
        <v>66</v>
      </c>
      <c r="P24" s="6" t="s">
        <v>49</v>
      </c>
    </row>
    <row r="25" spans="1:16" s="6" customFormat="1" x14ac:dyDescent="0.25">
      <c r="A25" s="7" t="s">
        <v>87</v>
      </c>
      <c r="B25" s="6">
        <f>IF(J25&gt;1,1,0)</f>
        <v>1</v>
      </c>
      <c r="C25" s="6">
        <f>IF(C24=1,1,0)</f>
        <v>0</v>
      </c>
      <c r="D25" s="6">
        <f>IF(D24&gt;0,1,0)</f>
        <v>0</v>
      </c>
      <c r="E25" s="6">
        <f>IF(E24&gt;0,1,0)</f>
        <v>0</v>
      </c>
      <c r="F25" s="6">
        <f>IF(F24=0,1,0)</f>
        <v>1</v>
      </c>
      <c r="G25" s="6">
        <f>IF(G24=0,1,0)</f>
        <v>1</v>
      </c>
      <c r="H25" s="6">
        <f>IF(H24&gt;1,1,0)</f>
        <v>0</v>
      </c>
      <c r="I25" s="6">
        <f>IF(I24=0,1,0)</f>
        <v>1</v>
      </c>
      <c r="J25" s="6">
        <f>SUM(C25:I25)</f>
        <v>3</v>
      </c>
      <c r="K25" s="6">
        <f>IF(K24&gt;1,1,0)</f>
        <v>0</v>
      </c>
      <c r="L25" s="6">
        <f>IF(L24=1,1,0)</f>
        <v>0</v>
      </c>
      <c r="M25" s="6">
        <f>SUM(K25:L25)</f>
        <v>0</v>
      </c>
      <c r="N25" s="6" t="str">
        <f>IF(B25=1,"Yes","No")</f>
        <v>Yes</v>
      </c>
      <c r="O25" s="6" t="str">
        <f>IF(N25="Yes","No",IF(B26&gt;0,"Yes","No"))</f>
        <v>No</v>
      </c>
      <c r="P25" s="6" t="str">
        <f>IF(N25="Yes","No",IF(O25="Yes","No","Yes"))</f>
        <v>No</v>
      </c>
    </row>
    <row r="26" spans="1:16" s="6" customFormat="1" x14ac:dyDescent="0.25">
      <c r="A26" s="7" t="s">
        <v>311</v>
      </c>
      <c r="B26" s="6">
        <f>IF(M25&gt;0,1,0)</f>
        <v>0</v>
      </c>
    </row>
    <row r="27" spans="1:16" s="6" customFormat="1" x14ac:dyDescent="0.25">
      <c r="A27" s="6" t="s">
        <v>69</v>
      </c>
      <c r="C27" s="6">
        <f>'Record Scores'!C115</f>
        <v>0</v>
      </c>
      <c r="D27" s="6">
        <f>'Record Scores'!C118</f>
        <v>0</v>
      </c>
      <c r="E27" s="6">
        <f>'Record Scores'!C116</f>
        <v>0</v>
      </c>
      <c r="F27" s="6">
        <f>'Record Scores'!C119</f>
        <v>0</v>
      </c>
      <c r="G27" s="6">
        <f>'Record Scores'!C120</f>
        <v>0</v>
      </c>
      <c r="H27" s="6">
        <f>'Record Scores'!C117</f>
        <v>0</v>
      </c>
      <c r="I27" s="6">
        <f>'Record Scores'!C154</f>
        <v>0</v>
      </c>
      <c r="N27" s="6" t="s">
        <v>73</v>
      </c>
      <c r="O27" s="6" t="s">
        <v>70</v>
      </c>
      <c r="P27" s="6" t="s">
        <v>49</v>
      </c>
    </row>
    <row r="28" spans="1:16" s="6" customFormat="1" x14ac:dyDescent="0.25">
      <c r="C28" s="6">
        <f>IF(C27=1,1,0)</f>
        <v>0</v>
      </c>
      <c r="D28" s="6">
        <f t="shared" ref="D28:I28" si="5">IF(D27=1,1,0)</f>
        <v>0</v>
      </c>
      <c r="E28" s="6">
        <f t="shared" si="5"/>
        <v>0</v>
      </c>
      <c r="F28" s="6">
        <f t="shared" si="5"/>
        <v>0</v>
      </c>
      <c r="G28" s="6">
        <f t="shared" si="5"/>
        <v>0</v>
      </c>
      <c r="H28" s="6">
        <f t="shared" si="5"/>
        <v>0</v>
      </c>
      <c r="I28" s="6">
        <f t="shared" si="5"/>
        <v>0</v>
      </c>
      <c r="N28" s="6" t="str">
        <f>IF(B29&gt;1,"Yes","No")</f>
        <v>No</v>
      </c>
      <c r="O28" s="6" t="str">
        <f>IF(B29=1,"Yes","No")</f>
        <v>No</v>
      </c>
      <c r="P28" s="6" t="str">
        <f>IF(B29=0,"Yes","No")</f>
        <v>Yes</v>
      </c>
    </row>
    <row r="29" spans="1:16" s="6" customFormat="1" x14ac:dyDescent="0.25">
      <c r="B29" s="6">
        <f>SUM(C29:I29)</f>
        <v>0</v>
      </c>
      <c r="C29" s="6">
        <f>IF(SUM(C28:D28)&gt;0,1,0)</f>
        <v>0</v>
      </c>
      <c r="E29" s="6">
        <f>IF(SUM(E28:G28)&gt;0,1,0)</f>
        <v>0</v>
      </c>
      <c r="H29" s="6">
        <f>IF(SUM(H28:I28)&gt;0,1,0)</f>
        <v>0</v>
      </c>
    </row>
    <row r="30" spans="1:16" s="6" customFormat="1" x14ac:dyDescent="0.25"/>
    <row r="31" spans="1:16" s="6" customFormat="1" x14ac:dyDescent="0.25">
      <c r="A31" s="6" t="s">
        <v>72</v>
      </c>
      <c r="C31" s="6">
        <f>'Record Scores'!C123</f>
        <v>0</v>
      </c>
      <c r="D31" s="6">
        <f>'Record Scores'!C124</f>
        <v>0</v>
      </c>
      <c r="E31" s="6">
        <f>'Record Scores'!C125</f>
        <v>0</v>
      </c>
      <c r="F31" s="6">
        <f>'Record Scores'!C126</f>
        <v>0</v>
      </c>
      <c r="G31" s="6">
        <f>'Record Scores'!C127</f>
        <v>0</v>
      </c>
      <c r="H31" s="6">
        <f>'Record Scores'!C128</f>
        <v>0</v>
      </c>
      <c r="I31" s="6">
        <f>'Record Scores'!C129</f>
        <v>0</v>
      </c>
      <c r="J31" s="6">
        <f>'Record Scores'!C130</f>
        <v>0</v>
      </c>
      <c r="K31" s="6">
        <f>'Record Scores'!C131</f>
        <v>0</v>
      </c>
      <c r="L31" s="6">
        <f>'Record Scores'!C132</f>
        <v>0</v>
      </c>
      <c r="M31" s="6">
        <f>'Record Scores'!C132</f>
        <v>0</v>
      </c>
      <c r="N31" s="6">
        <f>'Record Scores'!C140</f>
        <v>0</v>
      </c>
      <c r="O31" s="6">
        <f>'Record Scores'!C141</f>
        <v>0</v>
      </c>
      <c r="P31" s="6">
        <f>'Record Scores'!C142</f>
        <v>0</v>
      </c>
    </row>
    <row r="32" spans="1:16" s="6" customFormat="1" x14ac:dyDescent="0.25">
      <c r="A32" s="6" t="s">
        <v>74</v>
      </c>
      <c r="B32" s="6">
        <f>IF(SUM(C32:P32)&gt;0,1,0)</f>
        <v>0</v>
      </c>
      <c r="C32" s="6">
        <f>IF(C31&gt;3,1,0)</f>
        <v>0</v>
      </c>
      <c r="D32" s="6">
        <f t="shared" ref="D32:M32" si="6">IF(D31&gt;3,1,0)</f>
        <v>0</v>
      </c>
      <c r="E32" s="6">
        <f t="shared" si="6"/>
        <v>0</v>
      </c>
      <c r="F32" s="6">
        <f t="shared" si="6"/>
        <v>0</v>
      </c>
      <c r="G32" s="6">
        <f t="shared" si="6"/>
        <v>0</v>
      </c>
      <c r="H32" s="6">
        <f t="shared" si="6"/>
        <v>0</v>
      </c>
      <c r="I32" s="6">
        <f t="shared" si="6"/>
        <v>0</v>
      </c>
      <c r="J32" s="6">
        <f t="shared" si="6"/>
        <v>0</v>
      </c>
      <c r="K32" s="6">
        <f t="shared" si="6"/>
        <v>0</v>
      </c>
      <c r="L32" s="6">
        <f t="shared" si="6"/>
        <v>0</v>
      </c>
      <c r="M32" s="6">
        <f t="shared" si="6"/>
        <v>0</v>
      </c>
      <c r="N32" s="6">
        <f>IF(N31=1,1,0)</f>
        <v>0</v>
      </c>
      <c r="O32" s="6">
        <f t="shared" ref="O32:P32" si="7">IF(O31=1,1,0)</f>
        <v>0</v>
      </c>
      <c r="P32" s="6">
        <f t="shared" si="7"/>
        <v>0</v>
      </c>
    </row>
    <row r="33" spans="1:18" s="6" customFormat="1" x14ac:dyDescent="0.25">
      <c r="A33" s="6" t="s">
        <v>75</v>
      </c>
      <c r="B33" s="6">
        <f>IF(B32=1,0,IF(C34=0,0,IF(SUM(E34:F34)&gt;1,1,0)))</f>
        <v>0</v>
      </c>
      <c r="C33" s="6">
        <f>IF(C31&gt;0,1,0)</f>
        <v>0</v>
      </c>
      <c r="D33" s="6">
        <f t="shared" ref="D33:L33" si="8">IF(D31&gt;0,1,0)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</row>
    <row r="34" spans="1:18" s="6" customFormat="1" x14ac:dyDescent="0.25">
      <c r="C34" s="6">
        <f>IF((SUM(C33:L33)+D34)&gt;0,1,0)</f>
        <v>0</v>
      </c>
      <c r="D34" s="6">
        <f>IF(D36&gt;0,1,0)</f>
        <v>0</v>
      </c>
      <c r="E34" s="6">
        <f>IF(E36=1,1,0)</f>
        <v>0</v>
      </c>
      <c r="F34" s="6">
        <f>IF(SUM(F36:L36)&gt;1,1,0)</f>
        <v>0</v>
      </c>
    </row>
    <row r="35" spans="1:18" s="6" customFormat="1" x14ac:dyDescent="0.25">
      <c r="C35" s="6" t="s">
        <v>300</v>
      </c>
      <c r="D35" s="6" t="s">
        <v>301</v>
      </c>
      <c r="E35" s="6" t="s">
        <v>303</v>
      </c>
      <c r="F35" s="6" t="s">
        <v>305</v>
      </c>
      <c r="N35" s="6" t="s">
        <v>76</v>
      </c>
      <c r="O35" s="6" t="s">
        <v>77</v>
      </c>
      <c r="P35" s="6" t="s">
        <v>49</v>
      </c>
    </row>
    <row r="36" spans="1:18" s="6" customFormat="1" x14ac:dyDescent="0.25">
      <c r="D36" s="6">
        <f>'Record Scores'!C6</f>
        <v>0</v>
      </c>
      <c r="E36" s="6">
        <f>'Record Scores'!C134</f>
        <v>0</v>
      </c>
      <c r="F36" s="6">
        <f>'Record Scores'!C22</f>
        <v>0</v>
      </c>
      <c r="G36" s="6">
        <f>'Record Scores'!C20</f>
        <v>0</v>
      </c>
      <c r="H36" s="6">
        <f>'Record Scores'!C21</f>
        <v>0</v>
      </c>
      <c r="I36" s="6">
        <f>'Record Scores'!C23</f>
        <v>0</v>
      </c>
      <c r="J36" s="6">
        <f>'Record Scores'!C26</f>
        <v>0</v>
      </c>
      <c r="K36" s="6">
        <f>'Record Scores'!C25</f>
        <v>0</v>
      </c>
      <c r="L36" s="6">
        <f>'Record Scores'!C19</f>
        <v>0</v>
      </c>
      <c r="N36" s="6" t="str">
        <f>IF(B32=1,"Yes","No")</f>
        <v>No</v>
      </c>
      <c r="O36" s="6" t="str">
        <f>IF(B33=1,"Yes","No")</f>
        <v>No</v>
      </c>
      <c r="P36" s="6" t="str">
        <f>IF(N36="Yes","No",IF(O36="Yes","No","Yes"))</f>
        <v>Yes</v>
      </c>
    </row>
    <row r="37" spans="1:18" x14ac:dyDescent="0.25">
      <c r="A37" t="s">
        <v>289</v>
      </c>
      <c r="C37">
        <f>'Record Scores'!C39</f>
        <v>0</v>
      </c>
      <c r="D37">
        <f>'Record Scores'!C62</f>
        <v>0</v>
      </c>
      <c r="E37">
        <f>'Record Scores'!C52</f>
        <v>0</v>
      </c>
      <c r="O37" t="s">
        <v>78</v>
      </c>
      <c r="P37" t="s">
        <v>49</v>
      </c>
    </row>
    <row r="38" spans="1:18" x14ac:dyDescent="0.25">
      <c r="B38">
        <f>SUM(C38:E38)</f>
        <v>0</v>
      </c>
      <c r="C38">
        <f>IF(C37&gt;0,1,0)</f>
        <v>0</v>
      </c>
      <c r="D38">
        <f>IF(D37&gt;0,1,0)</f>
        <v>0</v>
      </c>
      <c r="E38">
        <f>IF(E37&gt;0,1,0)</f>
        <v>0</v>
      </c>
      <c r="O38" t="str">
        <f>IF(B38&gt;0,"Yes","No")</f>
        <v>No</v>
      </c>
      <c r="P38" t="str">
        <f>IF(B38=0,"Yes","No")</f>
        <v>Yes</v>
      </c>
    </row>
    <row r="39" spans="1:18" s="6" customFormat="1" x14ac:dyDescent="0.25">
      <c r="A39" s="6" t="s">
        <v>168</v>
      </c>
      <c r="C39" s="6">
        <f>'Record Scores'!C53</f>
        <v>0</v>
      </c>
      <c r="D39" s="6">
        <f>'Record Scores'!C105</f>
        <v>0</v>
      </c>
      <c r="E39" s="6">
        <f>'Record Scores'!C9</f>
        <v>0</v>
      </c>
      <c r="F39" s="6">
        <f>'Record Scores'!C29</f>
        <v>0</v>
      </c>
      <c r="G39" s="6">
        <f>'Record Scores'!C27</f>
        <v>0</v>
      </c>
      <c r="H39" s="6">
        <f>'Record Scores'!C28</f>
        <v>0</v>
      </c>
      <c r="I39" s="6">
        <f>'Record Scores'!C129</f>
        <v>0</v>
      </c>
      <c r="J39" s="6">
        <f>'Record Scores'!C128</f>
        <v>0</v>
      </c>
      <c r="K39" s="6">
        <f>'Record Scores'!C127</f>
        <v>0</v>
      </c>
      <c r="L39" s="6">
        <f>'Record Scores'!C69</f>
        <v>0</v>
      </c>
      <c r="N39" s="6" t="s">
        <v>293</v>
      </c>
      <c r="O39" s="6" t="s">
        <v>61</v>
      </c>
      <c r="P39" s="6" t="s">
        <v>294</v>
      </c>
      <c r="Q39" s="6" t="s">
        <v>49</v>
      </c>
    </row>
    <row r="40" spans="1:18" s="6" customFormat="1" x14ac:dyDescent="0.25">
      <c r="A40" s="7" t="s">
        <v>60</v>
      </c>
      <c r="B40" s="6">
        <f>IF(C40=0,0,IF(M40&gt;1,1,0))</f>
        <v>0</v>
      </c>
      <c r="C40" s="6">
        <f>IF(C39&gt;1,1,0)</f>
        <v>0</v>
      </c>
      <c r="D40" s="6">
        <f>IF(D39&gt;0,1,0)</f>
        <v>0</v>
      </c>
      <c r="E40" s="6">
        <f t="shared" ref="E40:K40" si="9">IF(E39&gt;0,1,0)</f>
        <v>0</v>
      </c>
      <c r="F40" s="6">
        <f t="shared" si="9"/>
        <v>0</v>
      </c>
      <c r="G40" s="6">
        <f t="shared" si="9"/>
        <v>0</v>
      </c>
      <c r="H40" s="6">
        <f t="shared" si="9"/>
        <v>0</v>
      </c>
      <c r="I40" s="6">
        <f t="shared" si="9"/>
        <v>0</v>
      </c>
      <c r="J40" s="6">
        <f t="shared" si="9"/>
        <v>0</v>
      </c>
      <c r="K40" s="6">
        <f t="shared" si="9"/>
        <v>0</v>
      </c>
      <c r="L40" s="6">
        <f>IF(L39&gt;2,1,0)</f>
        <v>0</v>
      </c>
      <c r="M40" s="6">
        <f>SUM(D40:L40)</f>
        <v>0</v>
      </c>
      <c r="N40" s="6" t="str">
        <f>IF(B40=1,"Yes","No")</f>
        <v>No</v>
      </c>
      <c r="O40" s="6" t="str">
        <f>IF(B41=1,"Yes","No")</f>
        <v>No</v>
      </c>
      <c r="P40" s="6" t="str">
        <f>IF(B42=1,"Yes","No")</f>
        <v>No</v>
      </c>
      <c r="Q40" s="6" t="str">
        <f>IF(N40="Yes","No",IF(O40="Yes","No",IF(P40="Yes","No","Yes")))</f>
        <v>Yes</v>
      </c>
    </row>
    <row r="41" spans="1:18" s="6" customFormat="1" x14ac:dyDescent="0.25">
      <c r="A41" s="7" t="s">
        <v>61</v>
      </c>
      <c r="B41" s="6">
        <f>IF(C40=0,0,IF(M40=1,1,0))</f>
        <v>0</v>
      </c>
    </row>
    <row r="42" spans="1:18" s="6" customFormat="1" x14ac:dyDescent="0.25">
      <c r="A42" s="7" t="s">
        <v>295</v>
      </c>
      <c r="B42" s="6">
        <f>IF(C40=0,0,IF(M40=0,1,0))</f>
        <v>0</v>
      </c>
    </row>
    <row r="43" spans="1:18" s="6" customFormat="1" x14ac:dyDescent="0.25">
      <c r="A43" s="8" t="s">
        <v>296</v>
      </c>
      <c r="B43" s="6">
        <f>SUM(C43:G43)</f>
        <v>0</v>
      </c>
      <c r="C43" s="6">
        <f>'Record Scores'!C59</f>
        <v>0</v>
      </c>
      <c r="D43" s="6">
        <f>'Record Scores'!C60</f>
        <v>0</v>
      </c>
      <c r="E43" s="6">
        <f>'Record Scores'!C61</f>
        <v>0</v>
      </c>
      <c r="F43" s="6">
        <f>'Record Scores'!C172</f>
        <v>0</v>
      </c>
      <c r="G43" s="6">
        <f>'Record Scores'!C173</f>
        <v>0</v>
      </c>
      <c r="N43" t="s">
        <v>78</v>
      </c>
      <c r="O43" t="s">
        <v>49</v>
      </c>
    </row>
    <row r="44" spans="1:18" s="6" customFormat="1" x14ac:dyDescent="0.25">
      <c r="N44" t="str">
        <f>IF(B43&gt;0,"Yes","No")</f>
        <v>No</v>
      </c>
      <c r="O44" t="str">
        <f>IF(N44="No","Yes","No")</f>
        <v>Yes</v>
      </c>
    </row>
    <row r="45" spans="1:18" s="6" customFormat="1" x14ac:dyDescent="0.25">
      <c r="A45" s="8" t="s">
        <v>132</v>
      </c>
      <c r="B45" s="6">
        <f>IF(B47=0,0,IF(C47=0,0,IF(P47=0,0,1)))</f>
        <v>0</v>
      </c>
      <c r="C45" s="6">
        <f>'Record Scores'!C4</f>
        <v>0</v>
      </c>
      <c r="D45" s="6">
        <f>'Record Scores'!C8</f>
        <v>0</v>
      </c>
      <c r="E45" s="6">
        <f>'Record Scores'!C5</f>
        <v>0</v>
      </c>
      <c r="F45" s="6">
        <f>'Record Scores'!C6</f>
        <v>0</v>
      </c>
      <c r="G45" s="6">
        <f>'Record Scores'!C7</f>
        <v>0</v>
      </c>
      <c r="H45" s="6">
        <f>'Record Scores'!C131</f>
        <v>0</v>
      </c>
      <c r="I45" s="6">
        <f>'Record Scores'!C124</f>
        <v>0</v>
      </c>
      <c r="J45" s="6">
        <f>'Record Scores'!C127</f>
        <v>0</v>
      </c>
      <c r="K45" s="6">
        <f>'Record Scores'!C128</f>
        <v>0</v>
      </c>
      <c r="L45" s="6">
        <f>'Record Scores'!C129</f>
        <v>0</v>
      </c>
      <c r="M45" s="6">
        <f>'Record Scores'!C133</f>
        <v>0</v>
      </c>
      <c r="N45" s="6">
        <f>'Record Scores'!C132</f>
        <v>0</v>
      </c>
      <c r="O45" s="6">
        <f>'Record Scores'!C136</f>
        <v>0</v>
      </c>
      <c r="P45" s="6">
        <f>'Record Scores'!C107</f>
        <v>0</v>
      </c>
      <c r="Q45" s="6">
        <f>'Record Scores'!C108</f>
        <v>0</v>
      </c>
      <c r="R45" s="6">
        <f>'Record Scores'!C109</f>
        <v>0</v>
      </c>
    </row>
    <row r="46" spans="1:18" s="6" customFormat="1" x14ac:dyDescent="0.25">
      <c r="A46" s="7" t="s">
        <v>80</v>
      </c>
      <c r="B46" s="6">
        <f>'Record Scores'!C159</f>
        <v>0</v>
      </c>
      <c r="C46" s="6">
        <f>IF(C45=2,1,0)</f>
        <v>0</v>
      </c>
      <c r="D46" s="6">
        <f>IF(D45=1,1,0)</f>
        <v>0</v>
      </c>
      <c r="E46" s="6">
        <f>IF(E45&gt;0,1,0)</f>
        <v>0</v>
      </c>
      <c r="F46" s="6">
        <f t="shared" ref="F46:M46" si="10">IF(F45&gt;0,1,0)</f>
        <v>0</v>
      </c>
      <c r="G46" s="6">
        <f t="shared" si="10"/>
        <v>0</v>
      </c>
      <c r="H46" s="6">
        <f t="shared" si="10"/>
        <v>0</v>
      </c>
      <c r="I46" s="6">
        <f t="shared" si="10"/>
        <v>0</v>
      </c>
      <c r="J46" s="6">
        <f t="shared" si="10"/>
        <v>0</v>
      </c>
      <c r="K46" s="6">
        <f t="shared" si="10"/>
        <v>0</v>
      </c>
      <c r="L46" s="6">
        <f t="shared" si="10"/>
        <v>0</v>
      </c>
      <c r="M46" s="6">
        <f t="shared" si="10"/>
        <v>0</v>
      </c>
      <c r="N46" s="6">
        <f>IF(N45&gt;1,1,0)</f>
        <v>0</v>
      </c>
      <c r="O46" s="6">
        <f>IF(O45=1,1,0)</f>
        <v>0</v>
      </c>
      <c r="P46" s="6">
        <f t="shared" ref="P46:R46" si="11">IF(P45=1,1,0)</f>
        <v>0</v>
      </c>
      <c r="Q46" s="6">
        <f t="shared" si="11"/>
        <v>0</v>
      </c>
      <c r="R46" s="6">
        <f t="shared" si="11"/>
        <v>0</v>
      </c>
    </row>
    <row r="47" spans="1:18" s="6" customFormat="1" x14ac:dyDescent="0.25">
      <c r="B47" s="6">
        <f>IF(B46&lt;12,1,0)</f>
        <v>1</v>
      </c>
      <c r="C47" s="6">
        <f>SUM(C46:O46)</f>
        <v>0</v>
      </c>
      <c r="N47" t="s">
        <v>78</v>
      </c>
      <c r="O47" t="s">
        <v>49</v>
      </c>
      <c r="P47" s="6">
        <f>SUM(P46:R46)</f>
        <v>0</v>
      </c>
    </row>
    <row r="48" spans="1:18" s="6" customFormat="1" x14ac:dyDescent="0.25">
      <c r="N48" t="str">
        <f>IF(B45=1,"Yes","No")</f>
        <v>No</v>
      </c>
      <c r="O48" t="str">
        <f>IF(N48="No","Yes","No")</f>
        <v>Yes</v>
      </c>
    </row>
    <row r="49" spans="1:16" s="6" customFormat="1" x14ac:dyDescent="0.25">
      <c r="A49" s="6" t="s">
        <v>144</v>
      </c>
      <c r="B49" s="6">
        <f>IF(B50&gt;1,1,0)</f>
        <v>0</v>
      </c>
      <c r="C49" s="6">
        <f>'Record Scores'!C137</f>
        <v>0</v>
      </c>
      <c r="D49" s="6">
        <f>'Record Scores'!C138</f>
        <v>0</v>
      </c>
      <c r="E49" s="6">
        <f>'Record Scores'!C136</f>
        <v>0</v>
      </c>
      <c r="F49" s="6">
        <f>'Record Scores'!C133</f>
        <v>0</v>
      </c>
      <c r="G49" s="6">
        <f>'Record Scores'!C139</f>
        <v>0</v>
      </c>
      <c r="H49" s="6">
        <f>'Record Scores'!C135</f>
        <v>0</v>
      </c>
      <c r="I49" s="6">
        <f>'Record Scores'!C121</f>
        <v>0</v>
      </c>
      <c r="J49" s="6">
        <f>'Record Scores'!C2</f>
        <v>0</v>
      </c>
      <c r="K49" s="6">
        <f>'Record Scores'!C3</f>
        <v>0</v>
      </c>
      <c r="N49" t="s">
        <v>78</v>
      </c>
      <c r="O49" t="s">
        <v>49</v>
      </c>
    </row>
    <row r="50" spans="1:16" s="6" customFormat="1" x14ac:dyDescent="0.25">
      <c r="B50" s="6">
        <f>SUM(C50:K50)</f>
        <v>0</v>
      </c>
      <c r="C50" s="6">
        <f>IF(C49=1,1,0)</f>
        <v>0</v>
      </c>
      <c r="D50" s="6">
        <f t="shared" ref="D50:K50" si="12">IF(D49=1,1,0)</f>
        <v>0</v>
      </c>
      <c r="E50" s="6">
        <f>IF(E49&gt;0,1,0)</f>
        <v>0</v>
      </c>
      <c r="F50" s="6">
        <f t="shared" si="12"/>
        <v>0</v>
      </c>
      <c r="G50" s="6">
        <f t="shared" si="12"/>
        <v>0</v>
      </c>
      <c r="H50" s="6">
        <f t="shared" si="12"/>
        <v>0</v>
      </c>
      <c r="I50" s="6">
        <f t="shared" si="12"/>
        <v>0</v>
      </c>
      <c r="J50" s="6">
        <f t="shared" si="12"/>
        <v>0</v>
      </c>
      <c r="K50" s="6">
        <f t="shared" si="12"/>
        <v>0</v>
      </c>
      <c r="N50" t="str">
        <f>IF(B49=1,"Yes","No")</f>
        <v>No</v>
      </c>
      <c r="O50" t="str">
        <f>IF(N50="No","Yes","No")</f>
        <v>Yes</v>
      </c>
    </row>
    <row r="51" spans="1:16" s="6" customFormat="1" x14ac:dyDescent="0.25">
      <c r="A51" s="6" t="s">
        <v>160</v>
      </c>
      <c r="B51" s="6">
        <f>IF(B52&gt;1,1,0)</f>
        <v>0</v>
      </c>
      <c r="C51" s="6">
        <f>'Record Scores'!C101</f>
        <v>0</v>
      </c>
      <c r="D51" s="6">
        <f>'Record Scores'!C102</f>
        <v>0</v>
      </c>
      <c r="E51" s="6">
        <f>'Record Scores'!C103</f>
        <v>0</v>
      </c>
      <c r="F51" s="6">
        <f>'Record Scores'!C104</f>
        <v>0</v>
      </c>
      <c r="G51" s="6">
        <f>'Record Scores'!C105</f>
        <v>0</v>
      </c>
      <c r="H51" s="6">
        <f>'Record Scores'!C106</f>
        <v>0</v>
      </c>
      <c r="N51" t="s">
        <v>78</v>
      </c>
      <c r="O51" t="s">
        <v>49</v>
      </c>
    </row>
    <row r="52" spans="1:16" s="6" customFormat="1" x14ac:dyDescent="0.25">
      <c r="B52" s="6">
        <f>SUM(C52:H52)</f>
        <v>0</v>
      </c>
      <c r="C52" s="6">
        <f>IF(C51&gt;0,1,0)</f>
        <v>0</v>
      </c>
      <c r="D52" s="6">
        <f t="shared" ref="D52:H52" si="13">IF(D51&gt;0,1,0)</f>
        <v>0</v>
      </c>
      <c r="E52" s="6">
        <f t="shared" si="13"/>
        <v>0</v>
      </c>
      <c r="F52" s="6">
        <f t="shared" si="13"/>
        <v>0</v>
      </c>
      <c r="G52" s="6">
        <f t="shared" si="13"/>
        <v>0</v>
      </c>
      <c r="H52" s="6">
        <f t="shared" si="13"/>
        <v>0</v>
      </c>
      <c r="N52" t="str">
        <f>IF(B51=1,"Yes","No")</f>
        <v>No</v>
      </c>
      <c r="O52" t="str">
        <f>IF(N52="No","Yes","No")</f>
        <v>Yes</v>
      </c>
    </row>
    <row r="53" spans="1:16" s="6" customFormat="1" x14ac:dyDescent="0.25">
      <c r="N53"/>
      <c r="O53"/>
    </row>
    <row r="54" spans="1:16" s="6" customFormat="1" x14ac:dyDescent="0.25">
      <c r="A54" s="6" t="s">
        <v>29</v>
      </c>
      <c r="B54" s="6">
        <f>IF(B55=1,1,0)</f>
        <v>0</v>
      </c>
      <c r="C54" s="6">
        <f>'Record Scores'!C81</f>
        <v>0</v>
      </c>
      <c r="D54" s="6">
        <f>'Record Scores'!C82</f>
        <v>0</v>
      </c>
      <c r="N54" t="s">
        <v>78</v>
      </c>
      <c r="O54" t="s">
        <v>49</v>
      </c>
    </row>
    <row r="55" spans="1:16" s="6" customFormat="1" x14ac:dyDescent="0.25">
      <c r="B55" s="6">
        <f>SUM(C55:D55)</f>
        <v>0</v>
      </c>
      <c r="C55" s="6">
        <f>IF(C54&gt;1,1,0)</f>
        <v>0</v>
      </c>
      <c r="D55" s="6">
        <f>IF(D54&gt;1,1,0)</f>
        <v>0</v>
      </c>
      <c r="N55" t="str">
        <f>IF(B54=1,"Yes","No")</f>
        <v>No</v>
      </c>
      <c r="O55" t="str">
        <f>IF(N55="No","Yes","No")</f>
        <v>Yes</v>
      </c>
    </row>
    <row r="56" spans="1:16" s="6" customFormat="1" x14ac:dyDescent="0.25">
      <c r="A56" s="6" t="s">
        <v>183</v>
      </c>
      <c r="B56" s="6" t="s">
        <v>80</v>
      </c>
      <c r="C56" s="6">
        <f>'Record Scores'!C159</f>
        <v>0</v>
      </c>
      <c r="N56" t="s">
        <v>314</v>
      </c>
      <c r="O56" t="s">
        <v>315</v>
      </c>
      <c r="P56" s="6" t="s">
        <v>49</v>
      </c>
    </row>
    <row r="57" spans="1:16" s="6" customFormat="1" x14ac:dyDescent="0.25">
      <c r="A57" s="7" t="s">
        <v>314</v>
      </c>
      <c r="B57" s="6">
        <f>IF(B58=0,0,IF(I58&lt;2,0,1))</f>
        <v>0</v>
      </c>
      <c r="C57" s="6">
        <f>'Record Scores'!C75</f>
        <v>0</v>
      </c>
      <c r="D57" s="6">
        <f>'Record Scores'!C76</f>
        <v>0</v>
      </c>
      <c r="E57" s="6">
        <f>'Record Scores'!C77</f>
        <v>0</v>
      </c>
      <c r="F57" s="6">
        <f>'Record Scores'!C78</f>
        <v>0</v>
      </c>
      <c r="G57" s="6">
        <f>'Record Scores'!C79</f>
        <v>0</v>
      </c>
      <c r="H57" s="6">
        <f>'Record Scores'!C80</f>
        <v>0</v>
      </c>
      <c r="N57" t="str">
        <f>IF(B57=1,"Yes","No")</f>
        <v>No</v>
      </c>
      <c r="O57" t="str">
        <f>IF(N57="Yes","No",IF(B59=1,"Yes","No"))</f>
        <v>No</v>
      </c>
      <c r="P57" s="6" t="str">
        <f>IF(N57="Yes","No",IF(O57="Yes","No","Yes"))</f>
        <v>Yes</v>
      </c>
    </row>
    <row r="58" spans="1:16" s="6" customFormat="1" x14ac:dyDescent="0.25">
      <c r="A58" s="7" t="s">
        <v>317</v>
      </c>
      <c r="B58" s="6">
        <f>IF(C56&lt;6,0,IF(C56&gt;18,0,1))</f>
        <v>0</v>
      </c>
      <c r="C58" s="6">
        <f>IF(C57=8,0,IF(C57&gt;2,1,0))</f>
        <v>0</v>
      </c>
      <c r="D58" s="6">
        <f t="shared" ref="D58:H58" si="14">IF(D57=8,0,IF(D57&gt;2,1,0))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>SUM(C58:H58)</f>
        <v>0</v>
      </c>
      <c r="N58"/>
      <c r="O58"/>
    </row>
    <row r="59" spans="1:16" s="6" customFormat="1" x14ac:dyDescent="0.25">
      <c r="A59" s="7" t="s">
        <v>315</v>
      </c>
      <c r="B59" s="6">
        <f>IF(B60=0,0,IF(J60&lt;2,0,1))</f>
        <v>0</v>
      </c>
      <c r="C59" s="6">
        <f>'Record Scores'!C72</f>
        <v>0</v>
      </c>
      <c r="D59" s="6">
        <f>'Record Scores'!C73</f>
        <v>0</v>
      </c>
      <c r="E59" s="6">
        <f>'Record Scores'!C74</f>
        <v>0</v>
      </c>
      <c r="F59" s="6">
        <f>'Record Scores'!C174</f>
        <v>0</v>
      </c>
      <c r="G59" s="6">
        <f>'Record Scores'!C175</f>
        <v>0</v>
      </c>
      <c r="H59" s="6">
        <f>'Record Scores'!C176</f>
        <v>0</v>
      </c>
      <c r="I59" s="6">
        <f>'Record Scores'!C177</f>
        <v>0</v>
      </c>
      <c r="N59"/>
      <c r="O59"/>
    </row>
    <row r="60" spans="1:16" s="6" customFormat="1" x14ac:dyDescent="0.25">
      <c r="A60" s="7" t="s">
        <v>318</v>
      </c>
      <c r="B60" s="6">
        <f>IF(C56&lt;12,0,IF(C56&gt;18,0,1))</f>
        <v>0</v>
      </c>
      <c r="C60" s="6">
        <f>IF(C59&gt;3,1,0)</f>
        <v>0</v>
      </c>
      <c r="D60" s="6">
        <f t="shared" ref="D60:I60" si="15">IF(D59&gt;3,1,0)</f>
        <v>0</v>
      </c>
      <c r="E60" s="6">
        <f t="shared" si="15"/>
        <v>0</v>
      </c>
      <c r="F60" s="6">
        <f t="shared" si="15"/>
        <v>0</v>
      </c>
      <c r="G60" s="6">
        <f t="shared" si="15"/>
        <v>0</v>
      </c>
      <c r="H60" s="6">
        <f t="shared" si="15"/>
        <v>0</v>
      </c>
      <c r="I60" s="6">
        <f t="shared" si="15"/>
        <v>0</v>
      </c>
      <c r="J60" s="6">
        <f>SUM(C60:I60)</f>
        <v>0</v>
      </c>
      <c r="N60"/>
      <c r="O60"/>
    </row>
    <row r="61" spans="1:16" s="6" customFormat="1" x14ac:dyDescent="0.25">
      <c r="A61" s="8" t="s">
        <v>193</v>
      </c>
      <c r="B61" s="6">
        <f>IF(C61&gt;1,1,0)</f>
        <v>0</v>
      </c>
      <c r="C61" s="6">
        <f>'Record Scores'!C42</f>
        <v>0</v>
      </c>
      <c r="N61" t="s">
        <v>78</v>
      </c>
      <c r="O61" t="s">
        <v>49</v>
      </c>
    </row>
    <row r="62" spans="1:16" s="6" customFormat="1" x14ac:dyDescent="0.25">
      <c r="A62" s="8"/>
      <c r="N62" t="str">
        <f>IF(B61=1,"Yes","No")</f>
        <v>No</v>
      </c>
      <c r="O62" t="str">
        <f>IF(N62="No","Yes","No")</f>
        <v>Yes</v>
      </c>
    </row>
    <row r="63" spans="1:16" s="6" customFormat="1" x14ac:dyDescent="0.25">
      <c r="A63" s="8" t="s">
        <v>195</v>
      </c>
      <c r="B63" s="6">
        <f>IF(C63=1,1,0)</f>
        <v>0</v>
      </c>
      <c r="C63" s="6">
        <f>'Record Scores'!C168</f>
        <v>0</v>
      </c>
      <c r="N63" t="s">
        <v>78</v>
      </c>
      <c r="O63" t="s">
        <v>49</v>
      </c>
    </row>
    <row r="64" spans="1:16" s="6" customFormat="1" x14ac:dyDescent="0.25">
      <c r="A64" s="8"/>
      <c r="N64" t="str">
        <f>IF(B63=1,"Yes","No")</f>
        <v>No</v>
      </c>
      <c r="O64" t="str">
        <f>IF(N64="No","Yes","No")</f>
        <v>Yes</v>
      </c>
    </row>
    <row r="65" spans="1:21" s="6" customFormat="1" x14ac:dyDescent="0.25">
      <c r="A65" s="8" t="s">
        <v>197</v>
      </c>
      <c r="B65" s="6">
        <f>IF(C65=8,0,IF(B66&gt;0,1,0))</f>
        <v>1</v>
      </c>
      <c r="C65" s="6">
        <f>'Record Scores'!C143</f>
        <v>0</v>
      </c>
      <c r="D65" s="6">
        <f>'Record Scores'!C145</f>
        <v>0</v>
      </c>
      <c r="E65" s="6">
        <f>'Record Scores'!C146</f>
        <v>0</v>
      </c>
      <c r="N65" t="s">
        <v>78</v>
      </c>
      <c r="O65" t="s">
        <v>49</v>
      </c>
    </row>
    <row r="66" spans="1:21" s="6" customFormat="1" x14ac:dyDescent="0.25">
      <c r="A66" s="8"/>
      <c r="B66" s="6">
        <f>SUM(C66:E66)</f>
        <v>1</v>
      </c>
      <c r="C66" s="6">
        <f>IF(C65&gt;1,1,0)</f>
        <v>0</v>
      </c>
      <c r="D66" s="6">
        <f>IF(D65=1,1,0)</f>
        <v>0</v>
      </c>
      <c r="E66" s="6">
        <f>IF(E65=0,1,0)</f>
        <v>1</v>
      </c>
      <c r="N66" t="str">
        <f>IF(B65=1,"Yes","No")</f>
        <v>Yes</v>
      </c>
      <c r="O66" t="str">
        <f>IF(N66="No","Yes","No")</f>
        <v>No</v>
      </c>
    </row>
    <row r="67" spans="1:21" s="6" customFormat="1" x14ac:dyDescent="0.25">
      <c r="A67" s="6" t="s">
        <v>199</v>
      </c>
      <c r="B67" s="6">
        <f>IF(B68=0,0,IF(E69&gt;0,1,0))</f>
        <v>0</v>
      </c>
      <c r="C67" s="6">
        <f>'Record Scores'!C144</f>
        <v>0</v>
      </c>
      <c r="D67" s="6">
        <f>'Record Scores'!C143</f>
        <v>0</v>
      </c>
      <c r="E67" s="6">
        <f>'Record Scores'!C41</f>
        <v>0</v>
      </c>
      <c r="F67" s="6">
        <f>'Record Scores'!C89</f>
        <v>0</v>
      </c>
      <c r="G67" s="6">
        <f>'Record Scores'!C86</f>
        <v>0</v>
      </c>
      <c r="H67" s="6">
        <f>'Record Scores'!C83</f>
        <v>0</v>
      </c>
      <c r="I67" s="6">
        <f>'Record Scores'!C90</f>
        <v>0</v>
      </c>
      <c r="J67" s="6">
        <f>'Record Scores'!C85</f>
        <v>0</v>
      </c>
      <c r="K67" s="6">
        <f>'Record Scores'!C84</f>
        <v>0</v>
      </c>
      <c r="L67" s="6">
        <f>'Record Scores'!C87</f>
        <v>0</v>
      </c>
      <c r="M67" s="6">
        <f>'Record Scores'!C88</f>
        <v>0</v>
      </c>
      <c r="N67">
        <f>'Record Scores'!C91</f>
        <v>0</v>
      </c>
      <c r="O67">
        <f>'Record Scores'!C93</f>
        <v>0</v>
      </c>
      <c r="P67" s="6">
        <f>'Record Scores'!C94</f>
        <v>0</v>
      </c>
      <c r="Q67" s="6">
        <f>'Record Scores'!C95</f>
        <v>0</v>
      </c>
      <c r="R67" s="6">
        <f>'Record Scores'!C96</f>
        <v>0</v>
      </c>
      <c r="S67" s="6">
        <f>'Record Scores'!C97</f>
        <v>0</v>
      </c>
      <c r="T67" s="6">
        <f>'Record Scores'!C98</f>
        <v>0</v>
      </c>
      <c r="U67" s="6">
        <f>'Record Scores'!C99</f>
        <v>0</v>
      </c>
    </row>
    <row r="68" spans="1:21" s="6" customFormat="1" x14ac:dyDescent="0.25">
      <c r="B68" s="6">
        <f>SUM(C68:D68)</f>
        <v>1</v>
      </c>
      <c r="C68" s="6">
        <f>IF(C67=1,1,0)</f>
        <v>0</v>
      </c>
      <c r="D68" s="6">
        <f>IF(D67&lt;2,1,0)</f>
        <v>1</v>
      </c>
      <c r="E68" s="6">
        <f>IF(E67=1,1,0)</f>
        <v>0</v>
      </c>
      <c r="F68" s="6">
        <f>IF(F67&gt;1,1,0)</f>
        <v>0</v>
      </c>
      <c r="G68" s="6">
        <f t="shared" ref="G68:N68" si="16">IF(G67&gt;1,1,0)</f>
        <v>0</v>
      </c>
      <c r="H68" s="6">
        <f t="shared" si="16"/>
        <v>0</v>
      </c>
      <c r="I68" s="6">
        <f t="shared" si="16"/>
        <v>0</v>
      </c>
      <c r="J68" s="6">
        <f t="shared" si="16"/>
        <v>0</v>
      </c>
      <c r="K68" s="6">
        <f t="shared" si="16"/>
        <v>0</v>
      </c>
      <c r="L68" s="6">
        <f t="shared" si="16"/>
        <v>0</v>
      </c>
      <c r="M68" s="6">
        <f t="shared" si="16"/>
        <v>0</v>
      </c>
      <c r="N68" s="6">
        <f t="shared" si="16"/>
        <v>0</v>
      </c>
      <c r="O68" s="6">
        <f>IF(O67=1,1,0)</f>
        <v>0</v>
      </c>
      <c r="P68" s="6">
        <f t="shared" ref="P68:U68" si="17">IF(P67=1,1,0)</f>
        <v>0</v>
      </c>
      <c r="Q68" s="6">
        <f t="shared" si="17"/>
        <v>0</v>
      </c>
      <c r="R68" s="6">
        <f t="shared" si="17"/>
        <v>0</v>
      </c>
      <c r="S68" s="6">
        <f t="shared" si="17"/>
        <v>0</v>
      </c>
      <c r="T68" s="6">
        <f t="shared" si="17"/>
        <v>0</v>
      </c>
      <c r="U68" s="6">
        <f t="shared" si="17"/>
        <v>0</v>
      </c>
    </row>
    <row r="69" spans="1:21" s="6" customFormat="1" x14ac:dyDescent="0.25">
      <c r="E69" s="6">
        <f>SUM(E68:U68)</f>
        <v>0</v>
      </c>
      <c r="N69" t="s">
        <v>78</v>
      </c>
      <c r="O69" t="s">
        <v>49</v>
      </c>
    </row>
    <row r="70" spans="1:21" s="6" customFormat="1" x14ac:dyDescent="0.25">
      <c r="N70" t="str">
        <f>IF(B67=1,"Yes","No")</f>
        <v>No</v>
      </c>
      <c r="O70" t="str">
        <f>IF(N70="No","Yes","No")</f>
        <v>Yes</v>
      </c>
    </row>
    <row r="71" spans="1:21" s="6" customFormat="1" x14ac:dyDescent="0.25">
      <c r="A71" s="6" t="s">
        <v>219</v>
      </c>
      <c r="B71" s="6">
        <f>IF(C71&lt;2,1,0)</f>
        <v>1</v>
      </c>
      <c r="C71" s="6">
        <f>'Record Scores'!C100</f>
        <v>0</v>
      </c>
      <c r="N71" t="s">
        <v>78</v>
      </c>
      <c r="O71" t="s">
        <v>49</v>
      </c>
    </row>
    <row r="72" spans="1:21" s="6" customFormat="1" x14ac:dyDescent="0.25">
      <c r="N72" t="str">
        <f>IF(B71=1,"Yes","No")</f>
        <v>Yes</v>
      </c>
      <c r="O72" t="str">
        <f>IF(N72="No","Yes","No")</f>
        <v>No</v>
      </c>
    </row>
    <row r="73" spans="1:21" s="6" customFormat="1" x14ac:dyDescent="0.25">
      <c r="A73" s="6" t="s">
        <v>94</v>
      </c>
      <c r="B73" s="6">
        <f>IF(B74&gt;1,1,0)</f>
        <v>0</v>
      </c>
      <c r="C73" s="6">
        <f>'Record Scores'!C35</f>
        <v>0</v>
      </c>
      <c r="D73" s="6">
        <f>'Record Scores'!C36</f>
        <v>0</v>
      </c>
      <c r="E73" s="6">
        <f>'Record Scores'!C25</f>
        <v>0</v>
      </c>
      <c r="F73" s="6">
        <f>'Record Scores'!C38</f>
        <v>0</v>
      </c>
      <c r="G73" s="6">
        <f>'Record Scores'!C37</f>
        <v>0</v>
      </c>
      <c r="H73" s="6">
        <f>'Record Scores'!C92</f>
        <v>0</v>
      </c>
      <c r="N73" t="s">
        <v>78</v>
      </c>
      <c r="O73" t="s">
        <v>49</v>
      </c>
    </row>
    <row r="74" spans="1:21" s="6" customFormat="1" x14ac:dyDescent="0.25">
      <c r="B74" s="6">
        <f>SUM(C74:H74)</f>
        <v>0</v>
      </c>
      <c r="C74" s="6">
        <f>IF(C73&gt;1,1,0)</f>
        <v>0</v>
      </c>
      <c r="D74" s="6">
        <f t="shared" ref="D74:H74" si="18">IF(D73&gt;1,1,0)</f>
        <v>0</v>
      </c>
      <c r="E74" s="6">
        <f t="shared" si="18"/>
        <v>0</v>
      </c>
      <c r="F74" s="6">
        <f t="shared" si="18"/>
        <v>0</v>
      </c>
      <c r="G74" s="6">
        <f t="shared" si="18"/>
        <v>0</v>
      </c>
      <c r="H74" s="6">
        <f>IF(H73&gt;0,1,0)</f>
        <v>0</v>
      </c>
      <c r="N74" t="str">
        <f>IF(B73=1,"Yes","No")</f>
        <v>No</v>
      </c>
      <c r="O74" t="str">
        <f>IF(N74="No","Yes","No")</f>
        <v>Yes</v>
      </c>
    </row>
    <row r="75" spans="1:21" s="6" customFormat="1" x14ac:dyDescent="0.25">
      <c r="A75" s="6" t="s">
        <v>225</v>
      </c>
      <c r="B75" s="6">
        <f>IF(B76&lt;2,1,0)</f>
        <v>0</v>
      </c>
      <c r="C75" s="6">
        <f>'Record Scores'!C65</f>
        <v>0</v>
      </c>
      <c r="D75" s="6">
        <f>'Record Scores'!C66</f>
        <v>0</v>
      </c>
      <c r="E75" s="6">
        <f>'Record Scores'!C70</f>
        <v>0</v>
      </c>
      <c r="F75" s="6">
        <f>'Record Scores'!C71</f>
        <v>0</v>
      </c>
      <c r="N75" t="s">
        <v>78</v>
      </c>
      <c r="O75" t="s">
        <v>49</v>
      </c>
    </row>
    <row r="76" spans="1:21" s="6" customFormat="1" x14ac:dyDescent="0.25">
      <c r="B76" s="6">
        <f>SUM(C76:F76)</f>
        <v>2</v>
      </c>
      <c r="C76" s="6">
        <f>IF(C75=1,1,0)</f>
        <v>0</v>
      </c>
      <c r="D76" s="6">
        <f>IF(D75=1,1,0)</f>
        <v>0</v>
      </c>
      <c r="E76" s="6">
        <f>IF(E75=0,1,0)</f>
        <v>1</v>
      </c>
      <c r="F76" s="6">
        <f>IF(F75=0,1,0)</f>
        <v>1</v>
      </c>
      <c r="N76" t="str">
        <f>IF(B75=1,"Yes","No")</f>
        <v>No</v>
      </c>
      <c r="O76" t="str">
        <f>IF(N76="No","Yes","No")</f>
        <v>Yes</v>
      </c>
    </row>
    <row r="77" spans="1:21" s="6" customFormat="1" x14ac:dyDescent="0.25">
      <c r="A77" s="6" t="s">
        <v>88</v>
      </c>
      <c r="B77" s="6">
        <f>IF(B78&gt;0,1,0)</f>
        <v>0</v>
      </c>
      <c r="C77" s="6">
        <f>'Record Scores'!C160</f>
        <v>0</v>
      </c>
      <c r="D77" s="6">
        <f>'Record Scores'!C161</f>
        <v>0</v>
      </c>
      <c r="E77" s="6">
        <f>'Record Scores'!C162</f>
        <v>0</v>
      </c>
      <c r="F77" s="6">
        <f>'Record Scores'!C163</f>
        <v>0</v>
      </c>
      <c r="G77" s="6">
        <f>'Record Scores'!C164</f>
        <v>0</v>
      </c>
      <c r="H77" s="6">
        <f>'Record Scores'!C165</f>
        <v>0</v>
      </c>
      <c r="I77" s="6">
        <f>'Record Scores'!C166</f>
        <v>0</v>
      </c>
      <c r="J77" s="6">
        <f>'Record Scores'!C167</f>
        <v>0</v>
      </c>
      <c r="N77" t="s">
        <v>78</v>
      </c>
      <c r="O77" t="s">
        <v>49</v>
      </c>
    </row>
    <row r="78" spans="1:21" s="6" customFormat="1" x14ac:dyDescent="0.25">
      <c r="B78" s="6">
        <f>SUM(C78:J78)</f>
        <v>0</v>
      </c>
      <c r="C78" s="6">
        <f>IF(C77&gt;0,1,0)</f>
        <v>0</v>
      </c>
      <c r="D78" s="6">
        <f t="shared" ref="D78:I78" si="19">IF(D77&gt;0,1,0)</f>
        <v>0</v>
      </c>
      <c r="E78" s="6">
        <f t="shared" si="19"/>
        <v>0</v>
      </c>
      <c r="F78" s="6">
        <f t="shared" si="19"/>
        <v>0</v>
      </c>
      <c r="G78" s="6">
        <f t="shared" si="19"/>
        <v>0</v>
      </c>
      <c r="H78" s="6">
        <f t="shared" si="19"/>
        <v>0</v>
      </c>
      <c r="I78" s="6">
        <f t="shared" si="19"/>
        <v>0</v>
      </c>
      <c r="J78" s="6">
        <f>IF(J77=1,1,0)</f>
        <v>0</v>
      </c>
      <c r="N78" t="str">
        <f>IF(B77=1,"Yes","No")</f>
        <v>No</v>
      </c>
      <c r="O78" t="str">
        <f>IF(N78="No","Yes","No")</f>
        <v>Yes</v>
      </c>
    </row>
    <row r="79" spans="1:21" s="6" customFormat="1" x14ac:dyDescent="0.25">
      <c r="A79" s="6" t="s">
        <v>332</v>
      </c>
      <c r="C79" s="6">
        <f>'Record Scores'!C43</f>
        <v>0</v>
      </c>
      <c r="D79" s="6">
        <f>'Record Scores'!C44</f>
        <v>0</v>
      </c>
      <c r="N79" t="s">
        <v>333</v>
      </c>
      <c r="O79" t="s">
        <v>334</v>
      </c>
      <c r="P79" t="s">
        <v>49</v>
      </c>
    </row>
    <row r="80" spans="1:21" s="6" customFormat="1" x14ac:dyDescent="0.25">
      <c r="B80" s="6">
        <f>SUM(C80:D80)</f>
        <v>0</v>
      </c>
      <c r="C80" s="6">
        <f>IF(C79=0,0,IF(C79&lt;3,1,0))</f>
        <v>0</v>
      </c>
      <c r="D80" s="6">
        <f>IF(D79=0,0,IF(D79&lt;3,1,0))</f>
        <v>0</v>
      </c>
      <c r="N80" t="str">
        <f>IF(O80="Yes","No",IF(B80&gt;0,"Yes","No"))</f>
        <v>No</v>
      </c>
      <c r="O80" t="str">
        <f>IF(B81=0,"No","Yes")</f>
        <v>No</v>
      </c>
      <c r="P80" t="str">
        <f>IF(N80="Yes","No",IF(O80="Yes","No","Yes"))</f>
        <v>Yes</v>
      </c>
    </row>
    <row r="81" spans="1:16" s="6" customFormat="1" x14ac:dyDescent="0.25">
      <c r="B81" s="6">
        <f>SUM(C81:D81)</f>
        <v>0</v>
      </c>
      <c r="C81" s="6">
        <f>IF(C79=3,1,0)</f>
        <v>0</v>
      </c>
      <c r="D81" s="6">
        <f>IF(D79=3,1,0)</f>
        <v>0</v>
      </c>
    </row>
    <row r="82" spans="1:16" s="6" customFormat="1" x14ac:dyDescent="0.25">
      <c r="A82" s="6" t="s">
        <v>238</v>
      </c>
      <c r="C82" s="6">
        <f>'Record Scores'!C45</f>
        <v>0</v>
      </c>
      <c r="D82" s="6" t="s">
        <v>61</v>
      </c>
      <c r="E82" s="6">
        <f>IF(C82=2,1,0)</f>
        <v>0</v>
      </c>
      <c r="F82" s="6" t="s">
        <v>336</v>
      </c>
      <c r="G82" s="6">
        <f>IF(C82=3,1,0)</f>
        <v>0</v>
      </c>
      <c r="N82" t="s">
        <v>61</v>
      </c>
      <c r="O82" t="s">
        <v>336</v>
      </c>
      <c r="P82" t="s">
        <v>49</v>
      </c>
    </row>
    <row r="83" spans="1:16" s="6" customFormat="1" x14ac:dyDescent="0.25">
      <c r="N83" t="str">
        <f>IF(E82=1,"Yes","No")</f>
        <v>No</v>
      </c>
      <c r="O83" t="str">
        <f>IF(G82=1,"Yes","No")</f>
        <v>No</v>
      </c>
      <c r="P83" t="str">
        <f>IF(N83="Yes","No",IF(O83="Yes","No","Yes"))</f>
        <v>Yes</v>
      </c>
    </row>
    <row r="84" spans="1:16" s="6" customFormat="1" x14ac:dyDescent="0.25">
      <c r="A84" s="6" t="s">
        <v>92</v>
      </c>
      <c r="C84" s="6">
        <f>'Record Scores'!C148</f>
        <v>0</v>
      </c>
      <c r="D84" s="6">
        <f>'Record Scores'!C149</f>
        <v>0</v>
      </c>
      <c r="E84" s="6">
        <f>'Record Scores'!C150</f>
        <v>0</v>
      </c>
      <c r="N84" t="s">
        <v>339</v>
      </c>
      <c r="O84" t="s">
        <v>340</v>
      </c>
      <c r="P84" t="s">
        <v>49</v>
      </c>
    </row>
    <row r="85" spans="1:16" s="6" customFormat="1" x14ac:dyDescent="0.25">
      <c r="A85" s="7" t="s">
        <v>337</v>
      </c>
      <c r="B85" s="6">
        <f>IF(F85&gt;0,1,0)</f>
        <v>0</v>
      </c>
      <c r="C85" s="6">
        <f>IF(C84=1,1,0)</f>
        <v>0</v>
      </c>
      <c r="D85" s="6">
        <f t="shared" ref="D85:E85" si="20">IF(D84=1,1,0)</f>
        <v>0</v>
      </c>
      <c r="E85" s="6">
        <f t="shared" si="20"/>
        <v>0</v>
      </c>
      <c r="F85" s="6">
        <f>SUM(C85:E85)</f>
        <v>0</v>
      </c>
      <c r="N85" t="str">
        <f>IF(B85=1,"Yes","No")</f>
        <v>No</v>
      </c>
      <c r="O85" t="str">
        <f>IF(B86=1,"Yes","No")</f>
        <v>No</v>
      </c>
      <c r="P85" t="str">
        <f>IF(N85="Yes","No",IF(O85="Yes","No","Yes"))</f>
        <v>Yes</v>
      </c>
    </row>
    <row r="86" spans="1:16" s="6" customFormat="1" x14ac:dyDescent="0.25">
      <c r="A86" s="7" t="s">
        <v>338</v>
      </c>
      <c r="B86" s="6">
        <f>IF(B85=1,0,IF(F86&gt;0,1,0))</f>
        <v>0</v>
      </c>
      <c r="C86" s="6">
        <f>'Record Scores'!C169</f>
        <v>0</v>
      </c>
      <c r="D86" s="6">
        <f>'Record Scores'!C170</f>
        <v>0</v>
      </c>
      <c r="E86" s="6">
        <f>'Record Scores'!C171</f>
        <v>0</v>
      </c>
      <c r="F86" s="6">
        <f>SUM(C86:E86)</f>
        <v>0</v>
      </c>
      <c r="N86"/>
      <c r="O86"/>
    </row>
    <row r="87" spans="1:16" s="6" customFormat="1" x14ac:dyDescent="0.25">
      <c r="A87" s="6" t="s">
        <v>246</v>
      </c>
      <c r="C87" s="6">
        <f>'Record Scores'!C151</f>
        <v>0</v>
      </c>
      <c r="D87" s="6">
        <f>'Record Scores'!C152</f>
        <v>0</v>
      </c>
      <c r="E87" s="6">
        <f>'Record Scores'!C153</f>
        <v>0</v>
      </c>
      <c r="F87" s="6">
        <f>'Record Scores'!C154</f>
        <v>0</v>
      </c>
      <c r="G87" s="6">
        <f>'Record Scores'!C155</f>
        <v>0</v>
      </c>
      <c r="H87" s="6">
        <f>'Record Scores'!C158</f>
        <v>0</v>
      </c>
      <c r="I87" s="6">
        <f>'Record Scores'!C156</f>
        <v>0</v>
      </c>
      <c r="J87" s="6">
        <f>'Record Scores'!C157</f>
        <v>0</v>
      </c>
      <c r="K87" s="6">
        <f>'Record Scores'!C178</f>
        <v>0</v>
      </c>
      <c r="N87" t="s">
        <v>345</v>
      </c>
      <c r="O87" t="s">
        <v>346</v>
      </c>
      <c r="P87" t="s">
        <v>49</v>
      </c>
    </row>
    <row r="88" spans="1:16" s="6" customFormat="1" x14ac:dyDescent="0.25">
      <c r="A88" s="7" t="s">
        <v>343</v>
      </c>
      <c r="B88" s="6">
        <f>IF(SUM(C88:H88)&gt;0,1,0)</f>
        <v>0</v>
      </c>
      <c r="C88" s="6">
        <f>IF(C87=1,1,0)</f>
        <v>0</v>
      </c>
      <c r="D88" s="6">
        <f t="shared" ref="D88:G88" si="21">IF(D87=1,1,0)</f>
        <v>0</v>
      </c>
      <c r="E88" s="6">
        <f t="shared" si="21"/>
        <v>0</v>
      </c>
      <c r="F88" s="6">
        <f t="shared" si="21"/>
        <v>0</v>
      </c>
      <c r="G88" s="6">
        <f t="shared" si="21"/>
        <v>0</v>
      </c>
      <c r="H88" s="6">
        <f>IF(H87&gt;1,1,0)</f>
        <v>0</v>
      </c>
      <c r="I88" s="6">
        <f t="shared" ref="I88" si="22">IF(I87=1,1,0)</f>
        <v>0</v>
      </c>
      <c r="J88" s="6">
        <f t="shared" ref="J88" si="23">IF(J87=1,1,0)</f>
        <v>0</v>
      </c>
      <c r="K88" s="6">
        <f>IF(K87=0,0,IF(K87&lt;4,1,0))</f>
        <v>0</v>
      </c>
      <c r="N88" t="str">
        <f>IF(B88=1,"Yes","No")</f>
        <v>No</v>
      </c>
      <c r="O88" t="str">
        <f>IF(B89=1,"Yes","No")</f>
        <v>No</v>
      </c>
      <c r="P88" t="str">
        <f>IF(N88="Yes","No",IF(O88="Yes","No","Yes"))</f>
        <v>Yes</v>
      </c>
    </row>
    <row r="89" spans="1:16" s="6" customFormat="1" x14ac:dyDescent="0.25">
      <c r="A89" s="7" t="s">
        <v>344</v>
      </c>
      <c r="B89" s="6">
        <f>IF(K89=0,0,IF(K88=0,0,1))</f>
        <v>0</v>
      </c>
      <c r="I89" s="6">
        <f>IF(I88=1,1,0)</f>
        <v>0</v>
      </c>
      <c r="J89" s="6">
        <f>IF(J88=1,1,0)</f>
        <v>0</v>
      </c>
      <c r="K89" s="6">
        <f>SUM(I89:J89)</f>
        <v>0</v>
      </c>
      <c r="N89"/>
      <c r="O89"/>
    </row>
    <row r="90" spans="1:16" s="6" customFormat="1" x14ac:dyDescent="0.25">
      <c r="A90" s="7" t="s">
        <v>347</v>
      </c>
      <c r="B90" s="6">
        <f>IF(B91&gt;1,1,0)</f>
        <v>0</v>
      </c>
      <c r="C90" s="6">
        <f>'Record Scores'!C110</f>
        <v>0</v>
      </c>
      <c r="D90" s="6">
        <f>'Record Scores'!C113</f>
        <v>0</v>
      </c>
      <c r="E90" s="6">
        <f>'Record Scores'!C111</f>
        <v>0</v>
      </c>
      <c r="F90" s="6">
        <f>'Record Scores'!C112</f>
        <v>0</v>
      </c>
      <c r="G90" s="6">
        <f>'Record Scores'!C114</f>
        <v>0</v>
      </c>
      <c r="N90" t="s">
        <v>78</v>
      </c>
      <c r="O90" t="s">
        <v>49</v>
      </c>
    </row>
    <row r="91" spans="1:16" s="6" customFormat="1" x14ac:dyDescent="0.25">
      <c r="B91" s="6">
        <f>SUM(C91:G91)</f>
        <v>0</v>
      </c>
      <c r="C91" s="6">
        <f>IF(C90=3,1,0)</f>
        <v>0</v>
      </c>
      <c r="D91" s="6">
        <f t="shared" ref="D91:G91" si="24">IF(D90=3,1,0)</f>
        <v>0</v>
      </c>
      <c r="E91" s="6">
        <f t="shared" si="24"/>
        <v>0</v>
      </c>
      <c r="F91" s="6">
        <f t="shared" si="24"/>
        <v>0</v>
      </c>
      <c r="G91" s="6">
        <f t="shared" si="24"/>
        <v>0</v>
      </c>
      <c r="N91" t="str">
        <f>IF(B90=1,"Yes","No")</f>
        <v>No</v>
      </c>
      <c r="O91" t="str">
        <f>IF(N91="No","Yes","No")</f>
        <v>Yes</v>
      </c>
    </row>
    <row r="92" spans="1:16" s="6" customFormat="1" x14ac:dyDescent="0.25">
      <c r="A92" s="7" t="s">
        <v>262</v>
      </c>
      <c r="B92" s="6">
        <f>IF(C92=1,1,0)</f>
        <v>0</v>
      </c>
      <c r="C92" s="6">
        <f>'Record Scores'!C147</f>
        <v>0</v>
      </c>
      <c r="N92" t="s">
        <v>78</v>
      </c>
      <c r="O92" t="s">
        <v>49</v>
      </c>
    </row>
    <row r="93" spans="1:16" s="6" customFormat="1" x14ac:dyDescent="0.25">
      <c r="N93" t="str">
        <f>IF(B92=1,"Yes","No")</f>
        <v>No</v>
      </c>
      <c r="O93" t="str">
        <f>IF(N93="No","Yes","No")</f>
        <v>Yes</v>
      </c>
    </row>
    <row r="94" spans="1:16" s="6" customFormat="1" x14ac:dyDescent="0.25"/>
    <row r="95" spans="1:16" s="6" customFormat="1" x14ac:dyDescent="0.25"/>
    <row r="96" spans="1:1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pans="1:1" s="6" customFormat="1" x14ac:dyDescent="0.25">
      <c r="A113" s="7"/>
    </row>
    <row r="114" spans="1:1" s="6" customFormat="1" x14ac:dyDescent="0.25">
      <c r="A114" s="7"/>
    </row>
    <row r="115" spans="1:1" s="6" customFormat="1" x14ac:dyDescent="0.25"/>
    <row r="116" spans="1:1" s="6" customFormat="1" x14ac:dyDescent="0.25"/>
    <row r="117" spans="1:1" s="6" customFormat="1" x14ac:dyDescent="0.25"/>
    <row r="118" spans="1:1" s="6" customFormat="1" x14ac:dyDescent="0.25"/>
    <row r="119" spans="1:1" s="6" customFormat="1" x14ac:dyDescent="0.25"/>
    <row r="120" spans="1:1" s="6" customFormat="1" x14ac:dyDescent="0.25"/>
    <row r="121" spans="1:1" s="6" customFormat="1" x14ac:dyDescent="0.25"/>
    <row r="122" spans="1:1" s="6" customFormat="1" x14ac:dyDescent="0.25"/>
    <row r="123" spans="1:1" s="6" customFormat="1" x14ac:dyDescent="0.25"/>
    <row r="124" spans="1:1" s="6" customFormat="1" x14ac:dyDescent="0.25"/>
    <row r="125" spans="1:1" s="6" customFormat="1" x14ac:dyDescent="0.25"/>
    <row r="126" spans="1:1" s="6" customFormat="1" x14ac:dyDescent="0.25"/>
    <row r="127" spans="1:1" s="6" customFormat="1" x14ac:dyDescent="0.25"/>
    <row r="128" spans="1:1" s="6" customFormat="1" x14ac:dyDescent="0.25"/>
    <row r="129" s="6" customFormat="1" x14ac:dyDescent="0.25"/>
    <row r="130" s="6" customFormat="1" x14ac:dyDescent="0.25"/>
  </sheetData>
  <sheetProtection password="BD4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Record Scores</vt:lpstr>
      <vt:lpstr>Results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2019-03-06T19:28:34Z</dcterms:created>
  <dcterms:modified xsi:type="dcterms:W3CDTF">2019-04-04T04:08:56Z</dcterms:modified>
</cp:coreProperties>
</file>